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edu-my.sharepoint.com/personal/lise_m_wilhelmsen_bi_no/Documents/Desktop/"/>
    </mc:Choice>
  </mc:AlternateContent>
  <xr:revisionPtr revIDLastSave="0" documentId="8_{9F1AB937-0C16-434C-88C2-F5D137B39F32}" xr6:coauthVersionLast="47" xr6:coauthVersionMax="47" xr10:uidLastSave="{00000000-0000-0000-0000-000000000000}"/>
  <bookViews>
    <workbookView xWindow="-110" yWindow="-110" windowWidth="19420" windowHeight="11500" activeTab="3" xr2:uid="{743EB035-8425-4967-AAF8-902108CD5CDE}"/>
  </bookViews>
  <sheets>
    <sheet name="Income statement" sheetId="1" r:id="rId1"/>
    <sheet name="Balance" sheetId="2" r:id="rId2"/>
    <sheet name="FCF" sheetId="3" r:id="rId3"/>
    <sheet name="Valuation" sheetId="4" r:id="rId4"/>
    <sheet name="Sensitivity analysi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5" l="1"/>
  <c r="F27" i="5"/>
  <c r="S8" i="5"/>
  <c r="T8" i="5"/>
  <c r="F14" i="5"/>
  <c r="E14" i="5"/>
  <c r="D14" i="5"/>
  <c r="B31" i="5"/>
  <c r="U17" i="5"/>
  <c r="T17" i="5"/>
  <c r="S17" i="5"/>
  <c r="R17" i="5"/>
  <c r="N20" i="5"/>
  <c r="M20" i="5"/>
  <c r="L20" i="5"/>
  <c r="K20" i="5"/>
  <c r="N9" i="5"/>
  <c r="M9" i="5"/>
  <c r="L9" i="5"/>
  <c r="K9" i="5"/>
  <c r="G13" i="5"/>
  <c r="F13" i="5"/>
  <c r="E13" i="5"/>
  <c r="D13" i="5"/>
  <c r="Z67" i="2" l="1"/>
  <c r="H16" i="4" l="1"/>
  <c r="C16" i="4"/>
  <c r="C19" i="4" s="1"/>
  <c r="G16" i="4"/>
  <c r="G19" i="4" s="1"/>
  <c r="F16" i="4"/>
  <c r="F19" i="4" s="1"/>
  <c r="E16" i="4"/>
  <c r="E19" i="4" s="1"/>
  <c r="D16" i="4"/>
  <c r="D19" i="4" s="1"/>
  <c r="G54" i="2" l="1"/>
  <c r="Q6" i="1" l="1"/>
  <c r="R6" i="1"/>
  <c r="S6" i="1"/>
  <c r="T6" i="1"/>
  <c r="U6" i="1"/>
  <c r="V6" i="1"/>
  <c r="P6" i="1"/>
  <c r="V69" i="1"/>
  <c r="U69" i="1"/>
  <c r="Q69" i="1"/>
  <c r="R69" i="1" s="1"/>
  <c r="S69" i="1" s="1"/>
  <c r="T69" i="1" s="1"/>
  <c r="P69" i="1"/>
  <c r="P20" i="1"/>
  <c r="AB76" i="2" l="1"/>
  <c r="AC76" i="2"/>
  <c r="AD76" i="2"/>
  <c r="AE76" i="2"/>
  <c r="AA76" i="2"/>
  <c r="D29" i="3"/>
  <c r="E29" i="3"/>
  <c r="F29" i="3"/>
  <c r="G29" i="3"/>
  <c r="D29" i="4" l="1"/>
  <c r="C29" i="4"/>
  <c r="E29" i="4" l="1"/>
  <c r="C29" i="3"/>
  <c r="F29" i="4" l="1"/>
  <c r="AA56" i="2"/>
  <c r="AB56" i="2"/>
  <c r="AC56" i="2"/>
  <c r="AD56" i="2"/>
  <c r="AE56" i="2"/>
  <c r="Z56" i="2"/>
  <c r="AA55" i="2"/>
  <c r="AB55" i="2"/>
  <c r="AC55" i="2"/>
  <c r="AD55" i="2"/>
  <c r="AE55" i="2"/>
  <c r="H15" i="3"/>
  <c r="I15" i="3"/>
  <c r="J15" i="3"/>
  <c r="K15" i="3"/>
  <c r="L15" i="3"/>
  <c r="M15" i="3"/>
  <c r="N15" i="3"/>
  <c r="H6" i="3"/>
  <c r="G5" i="3"/>
  <c r="G28" i="3" s="1"/>
  <c r="G30" i="3" s="1"/>
  <c r="H29" i="4" l="1"/>
  <c r="G29" i="4"/>
  <c r="AF35" i="2"/>
  <c r="AF34" i="2"/>
  <c r="AB69" i="2"/>
  <c r="AC69" i="2"/>
  <c r="AD69" i="2"/>
  <c r="AE69" i="2"/>
  <c r="AA69" i="2"/>
  <c r="AA68" i="2"/>
  <c r="Q25" i="1"/>
  <c r="R25" i="1"/>
  <c r="S25" i="1"/>
  <c r="T25" i="1"/>
  <c r="U25" i="1"/>
  <c r="V25" i="1"/>
  <c r="P25" i="1"/>
  <c r="P30" i="1"/>
  <c r="H13" i="3" s="1"/>
  <c r="AE57" i="2"/>
  <c r="U8" i="1"/>
  <c r="V8" i="1"/>
  <c r="R8" i="1"/>
  <c r="S8" i="1"/>
  <c r="T8" i="1"/>
  <c r="AA74" i="2" l="1"/>
  <c r="AB74" i="2"/>
  <c r="AC74" i="2"/>
  <c r="AD74" i="2"/>
  <c r="AE74" i="2"/>
  <c r="AA73" i="2"/>
  <c r="AB73" i="2"/>
  <c r="AC73" i="2"/>
  <c r="AD73" i="2"/>
  <c r="AE73" i="2"/>
  <c r="Z74" i="2"/>
  <c r="Z73" i="2"/>
  <c r="AA72" i="2"/>
  <c r="AB72" i="2"/>
  <c r="AC72" i="2"/>
  <c r="AD72" i="2"/>
  <c r="AE72" i="2"/>
  <c r="Z72" i="2"/>
  <c r="AA71" i="2"/>
  <c r="AB71" i="2"/>
  <c r="AC71" i="2"/>
  <c r="AD71" i="2"/>
  <c r="AE71" i="2"/>
  <c r="AA70" i="2"/>
  <c r="AB70" i="2"/>
  <c r="AC70" i="2"/>
  <c r="AD70" i="2"/>
  <c r="AE70" i="2"/>
  <c r="Z71" i="2"/>
  <c r="Z70" i="2"/>
  <c r="AB68" i="2"/>
  <c r="AC68" i="2"/>
  <c r="AD68" i="2"/>
  <c r="AE68" i="2"/>
  <c r="AA67" i="2"/>
  <c r="AB67" i="2"/>
  <c r="AC67" i="2"/>
  <c r="AD67" i="2"/>
  <c r="AE67" i="2"/>
  <c r="AA66" i="2"/>
  <c r="AB66" i="2"/>
  <c r="AC66" i="2"/>
  <c r="AD66" i="2"/>
  <c r="AE66" i="2"/>
  <c r="Z66" i="2"/>
  <c r="AE64" i="2"/>
  <c r="AA64" i="2"/>
  <c r="AB64" i="2"/>
  <c r="AC64" i="2"/>
  <c r="AD64" i="2"/>
  <c r="Z64" i="2"/>
  <c r="Z63" i="2"/>
  <c r="AA62" i="2"/>
  <c r="AB62" i="2"/>
  <c r="AC62" i="2"/>
  <c r="AD62" i="2"/>
  <c r="AE62" i="2"/>
  <c r="Z62" i="2"/>
  <c r="AA57" i="2"/>
  <c r="AB57" i="2"/>
  <c r="AC57" i="2"/>
  <c r="AD57" i="2"/>
  <c r="Z57" i="2"/>
  <c r="AA60" i="2"/>
  <c r="AB60" i="2"/>
  <c r="AC60" i="2"/>
  <c r="AD60" i="2"/>
  <c r="AE60" i="2"/>
  <c r="AA61" i="2"/>
  <c r="AB61" i="2"/>
  <c r="AC61" i="2"/>
  <c r="AD61" i="2"/>
  <c r="AE61" i="2"/>
  <c r="Z60" i="2"/>
  <c r="Z61" i="2"/>
  <c r="K87" i="1" l="1"/>
  <c r="AB78" i="2"/>
  <c r="AC78" i="2"/>
  <c r="AD78" i="2"/>
  <c r="AE78" i="2"/>
  <c r="AA78" i="2"/>
  <c r="AB77" i="2"/>
  <c r="AC77" i="2"/>
  <c r="AD77" i="2"/>
  <c r="AE77" i="2"/>
  <c r="AA77" i="2"/>
  <c r="AC59" i="2"/>
  <c r="AD59" i="2"/>
  <c r="AA59" i="2"/>
  <c r="AB58" i="2"/>
  <c r="AB59" i="2" s="1"/>
  <c r="AC58" i="2"/>
  <c r="AD58" i="2"/>
  <c r="AE58" i="2"/>
  <c r="AE59" i="2" s="1"/>
  <c r="AA58" i="2"/>
  <c r="K80" i="1"/>
  <c r="AA53" i="2"/>
  <c r="AB53" i="2"/>
  <c r="AC53" i="2"/>
  <c r="AD53" i="2"/>
  <c r="AE53" i="2"/>
  <c r="Z53" i="2"/>
  <c r="K77" i="1"/>
  <c r="L77" i="1"/>
  <c r="M77" i="1"/>
  <c r="N77" i="1"/>
  <c r="O77" i="1"/>
  <c r="J77" i="1"/>
  <c r="K86" i="1"/>
  <c r="L86" i="1"/>
  <c r="M86" i="1"/>
  <c r="N86" i="1"/>
  <c r="O86" i="1"/>
  <c r="J86" i="1"/>
  <c r="J85" i="1"/>
  <c r="K85" i="1"/>
  <c r="L85" i="1"/>
  <c r="M85" i="1"/>
  <c r="N85" i="1"/>
  <c r="O85" i="1"/>
  <c r="K84" i="1"/>
  <c r="L84" i="1"/>
  <c r="M84" i="1"/>
  <c r="N84" i="1"/>
  <c r="O84" i="1"/>
  <c r="J84" i="1"/>
  <c r="D11" i="3" l="1"/>
  <c r="C11" i="3"/>
  <c r="N59" i="1" l="1"/>
  <c r="O59" i="1"/>
  <c r="F51" i="2" l="1"/>
  <c r="F50" i="2"/>
  <c r="F49" i="2"/>
  <c r="Q8" i="1"/>
  <c r="P8" i="1"/>
  <c r="AA41" i="2"/>
  <c r="D22" i="3" s="1"/>
  <c r="AB41" i="2"/>
  <c r="E22" i="3" s="1"/>
  <c r="AC41" i="2"/>
  <c r="F22" i="3" s="1"/>
  <c r="AD41" i="2"/>
  <c r="G22" i="3" s="1"/>
  <c r="AE41" i="2"/>
  <c r="AA40" i="2"/>
  <c r="AB40" i="2"/>
  <c r="AC40" i="2"/>
  <c r="AD40" i="2"/>
  <c r="AE40" i="2"/>
  <c r="AA39" i="2"/>
  <c r="AB39" i="2"/>
  <c r="AC39" i="2"/>
  <c r="AD39" i="2"/>
  <c r="AE39" i="2"/>
  <c r="AA38" i="2"/>
  <c r="AB38" i="2"/>
  <c r="AC38" i="2"/>
  <c r="AD38" i="2"/>
  <c r="AE38" i="2"/>
  <c r="Z38" i="2"/>
  <c r="Z39" i="2"/>
  <c r="Z40" i="2"/>
  <c r="Z41" i="2"/>
  <c r="C22" i="3" s="1"/>
  <c r="AA37" i="2"/>
  <c r="AB37" i="2"/>
  <c r="AC37" i="2"/>
  <c r="AD37" i="2"/>
  <c r="AE37" i="2"/>
  <c r="Z37" i="2"/>
  <c r="Z29" i="2"/>
  <c r="O33" i="2"/>
  <c r="O35" i="2" s="1"/>
  <c r="S46" i="2"/>
  <c r="S48" i="2" s="1"/>
  <c r="T46" i="2"/>
  <c r="T48" i="2" s="1"/>
  <c r="U46" i="2"/>
  <c r="U48" i="2" s="1"/>
  <c r="V46" i="2"/>
  <c r="V48" i="2" s="1"/>
  <c r="W46" i="2"/>
  <c r="W48" i="2" s="1"/>
  <c r="R46" i="2"/>
  <c r="R48" i="2" s="1"/>
  <c r="R38" i="2"/>
  <c r="S31" i="2"/>
  <c r="T31" i="2"/>
  <c r="U31" i="2"/>
  <c r="V31" i="2"/>
  <c r="W31" i="2"/>
  <c r="R31" i="2"/>
  <c r="S22" i="2"/>
  <c r="AA22" i="2" s="1"/>
  <c r="T22" i="2"/>
  <c r="AB22" i="2" s="1"/>
  <c r="U22" i="2"/>
  <c r="AC22" i="2" s="1"/>
  <c r="V22" i="2"/>
  <c r="AD22" i="2" s="1"/>
  <c r="W22" i="2"/>
  <c r="AE22" i="2" s="1"/>
  <c r="S21" i="2"/>
  <c r="AA21" i="2" s="1"/>
  <c r="T21" i="2"/>
  <c r="AB21" i="2" s="1"/>
  <c r="U21" i="2"/>
  <c r="AC21" i="2" s="1"/>
  <c r="V21" i="2"/>
  <c r="AD21" i="2" s="1"/>
  <c r="W21" i="2"/>
  <c r="AE21" i="2" s="1"/>
  <c r="S20" i="2"/>
  <c r="AA20" i="2" s="1"/>
  <c r="T20" i="2"/>
  <c r="AB20" i="2" s="1"/>
  <c r="U20" i="2"/>
  <c r="AC20" i="2" s="1"/>
  <c r="V20" i="2"/>
  <c r="AD20" i="2" s="1"/>
  <c r="W20" i="2"/>
  <c r="AE20" i="2" s="1"/>
  <c r="S19" i="2"/>
  <c r="AA19" i="2" s="1"/>
  <c r="T19" i="2"/>
  <c r="U19" i="2"/>
  <c r="AC19" i="2" s="1"/>
  <c r="AC63" i="2" s="1"/>
  <c r="V19" i="2"/>
  <c r="AD19" i="2" s="1"/>
  <c r="AD63" i="2" s="1"/>
  <c r="W19" i="2"/>
  <c r="AE19" i="2" s="1"/>
  <c r="AE63" i="2" s="1"/>
  <c r="R22" i="2"/>
  <c r="Z22" i="2" s="1"/>
  <c r="R21" i="2"/>
  <c r="Z21" i="2" s="1"/>
  <c r="R20" i="2"/>
  <c r="Z20" i="2" s="1"/>
  <c r="R19" i="2"/>
  <c r="S15" i="2"/>
  <c r="AA15" i="2" s="1"/>
  <c r="T15" i="2"/>
  <c r="AB15" i="2" s="1"/>
  <c r="U15" i="2"/>
  <c r="AC15" i="2" s="1"/>
  <c r="V15" i="2"/>
  <c r="AD15" i="2" s="1"/>
  <c r="W15" i="2"/>
  <c r="AE15" i="2" s="1"/>
  <c r="S13" i="2"/>
  <c r="T13" i="2"/>
  <c r="U13" i="2"/>
  <c r="AC13" i="2" s="1"/>
  <c r="V13" i="2"/>
  <c r="AD13" i="2" s="1"/>
  <c r="W13" i="2"/>
  <c r="AE13" i="2" s="1"/>
  <c r="R15" i="2"/>
  <c r="Z15" i="2" s="1"/>
  <c r="R13" i="2"/>
  <c r="Z13" i="2" s="1"/>
  <c r="N33" i="2"/>
  <c r="N35" i="2" s="1"/>
  <c r="M33" i="2"/>
  <c r="U14" i="2" s="1"/>
  <c r="AC14" i="2" s="1"/>
  <c r="J33" i="2"/>
  <c r="J35" i="2" s="1"/>
  <c r="K46" i="2"/>
  <c r="L46" i="2"/>
  <c r="M46" i="2"/>
  <c r="N46" i="2"/>
  <c r="O46" i="2"/>
  <c r="J46" i="2"/>
  <c r="M41" i="2"/>
  <c r="N41" i="2"/>
  <c r="O41" i="2"/>
  <c r="K41" i="2"/>
  <c r="L41" i="2"/>
  <c r="J41" i="2"/>
  <c r="L33" i="2"/>
  <c r="L35" i="2" s="1"/>
  <c r="K33" i="2"/>
  <c r="S14" i="2" s="1"/>
  <c r="AA14" i="2" s="1"/>
  <c r="J29" i="2"/>
  <c r="K22" i="2"/>
  <c r="L22" i="2"/>
  <c r="M22" i="2"/>
  <c r="N22" i="2"/>
  <c r="O22" i="2"/>
  <c r="J22" i="2"/>
  <c r="O19" i="2"/>
  <c r="K19" i="2"/>
  <c r="L19" i="2"/>
  <c r="M19" i="2"/>
  <c r="N19" i="2"/>
  <c r="J19" i="2"/>
  <c r="P17" i="1" l="1"/>
  <c r="P16" i="1"/>
  <c r="R23" i="2"/>
  <c r="AE42" i="2"/>
  <c r="L48" i="2"/>
  <c r="AC42" i="2"/>
  <c r="AC44" i="2" s="1"/>
  <c r="T23" i="2"/>
  <c r="AC16" i="2"/>
  <c r="AC24" i="2" s="1"/>
  <c r="V23" i="2"/>
  <c r="M35" i="2"/>
  <c r="M48" i="2" s="1"/>
  <c r="K35" i="2"/>
  <c r="K48" i="2" s="1"/>
  <c r="R14" i="2"/>
  <c r="Z14" i="2" s="1"/>
  <c r="Z16" i="2" s="1"/>
  <c r="AB42" i="2"/>
  <c r="M87" i="1" s="1"/>
  <c r="AA42" i="2"/>
  <c r="AD42" i="2"/>
  <c r="F10" i="3" s="1"/>
  <c r="U16" i="2"/>
  <c r="AE44" i="2"/>
  <c r="N87" i="1"/>
  <c r="AA63" i="2"/>
  <c r="AA23" i="2"/>
  <c r="S16" i="2"/>
  <c r="AC23" i="2"/>
  <c r="L87" i="1"/>
  <c r="AA44" i="2"/>
  <c r="O87" i="1"/>
  <c r="Z55" i="2"/>
  <c r="W14" i="2"/>
  <c r="W23" i="2"/>
  <c r="AB13" i="2"/>
  <c r="AB19" i="2"/>
  <c r="R16" i="2"/>
  <c r="R24" i="2" s="1"/>
  <c r="R33" i="2" s="1"/>
  <c r="U23" i="2"/>
  <c r="Z19" i="2"/>
  <c r="V14" i="2"/>
  <c r="AD14" i="2" s="1"/>
  <c r="AD16" i="2" s="1"/>
  <c r="T14" i="2"/>
  <c r="AB14" i="2" s="1"/>
  <c r="S23" i="2"/>
  <c r="AA13" i="2"/>
  <c r="Z42" i="2"/>
  <c r="C10" i="3" s="1"/>
  <c r="P10" i="1"/>
  <c r="Q10" i="1"/>
  <c r="AD23" i="2"/>
  <c r="AE23" i="2"/>
  <c r="O48" i="2"/>
  <c r="N48" i="2"/>
  <c r="J48" i="2"/>
  <c r="Q16" i="1" l="1"/>
  <c r="Q17" i="1"/>
  <c r="AG76" i="2"/>
  <c r="Q14" i="1"/>
  <c r="Q12" i="1"/>
  <c r="Q13" i="1"/>
  <c r="AF76" i="2"/>
  <c r="AF11" i="2" s="1"/>
  <c r="P14" i="1"/>
  <c r="P12" i="1"/>
  <c r="P13" i="1"/>
  <c r="U24" i="2"/>
  <c r="U33" i="2" s="1"/>
  <c r="E10" i="3"/>
  <c r="V16" i="2"/>
  <c r="V24" i="2" s="1"/>
  <c r="V33" i="2" s="1"/>
  <c r="AB44" i="2"/>
  <c r="D10" i="3"/>
  <c r="AD44" i="2"/>
  <c r="G10" i="3"/>
  <c r="G7" i="3"/>
  <c r="Z44" i="2"/>
  <c r="AB63" i="2"/>
  <c r="AB23" i="2"/>
  <c r="D7" i="3" s="1"/>
  <c r="AA16" i="2"/>
  <c r="AA24" i="2" s="1"/>
  <c r="Z23" i="2"/>
  <c r="Z24" i="2" s="1"/>
  <c r="AB16" i="2"/>
  <c r="AD24" i="2"/>
  <c r="F7" i="3"/>
  <c r="W16" i="2"/>
  <c r="W24" i="2" s="1"/>
  <c r="W33" i="2" s="1"/>
  <c r="AE14" i="2"/>
  <c r="AE16" i="2" s="1"/>
  <c r="AE24" i="2" s="1"/>
  <c r="S24" i="2"/>
  <c r="S33" i="2" s="1"/>
  <c r="T16" i="2"/>
  <c r="T24" i="2" s="1"/>
  <c r="T33" i="2" s="1"/>
  <c r="K13" i="2"/>
  <c r="L13" i="2"/>
  <c r="M13" i="2"/>
  <c r="N13" i="2"/>
  <c r="O13" i="2"/>
  <c r="J13" i="2"/>
  <c r="R17" i="1" l="1"/>
  <c r="R16" i="1"/>
  <c r="R10" i="1"/>
  <c r="AG40" i="2"/>
  <c r="AG36" i="2"/>
  <c r="AG33" i="2"/>
  <c r="Q29" i="1"/>
  <c r="I12" i="3" s="1"/>
  <c r="AG10" i="2"/>
  <c r="AG37" i="2"/>
  <c r="AG14" i="2"/>
  <c r="AG39" i="2"/>
  <c r="AG21" i="2"/>
  <c r="AG17" i="2"/>
  <c r="AG38" i="2"/>
  <c r="AG32" i="2"/>
  <c r="Q28" i="1"/>
  <c r="I11" i="3" s="1"/>
  <c r="AG18" i="2"/>
  <c r="Q11" i="1"/>
  <c r="Q19" i="1"/>
  <c r="Q15" i="1"/>
  <c r="AF12" i="2"/>
  <c r="AF13" i="2"/>
  <c r="AF40" i="2"/>
  <c r="AF32" i="2"/>
  <c r="AF21" i="2"/>
  <c r="AF10" i="2"/>
  <c r="AF38" i="2"/>
  <c r="AF17" i="2"/>
  <c r="AF14" i="2"/>
  <c r="AF33" i="2"/>
  <c r="AF36" i="2"/>
  <c r="AF37" i="2"/>
  <c r="AF39" i="2"/>
  <c r="AF18" i="2"/>
  <c r="P28" i="1"/>
  <c r="P29" i="1"/>
  <c r="H12" i="3" s="1"/>
  <c r="P11" i="1"/>
  <c r="P15" i="1"/>
  <c r="P19" i="1"/>
  <c r="E7" i="3"/>
  <c r="AB24" i="2"/>
  <c r="M24" i="2"/>
  <c r="J24" i="2"/>
  <c r="N24" i="2"/>
  <c r="L24" i="2"/>
  <c r="K24" i="2"/>
  <c r="O24" i="2"/>
  <c r="C7" i="3"/>
  <c r="N28" i="1"/>
  <c r="F11" i="3" s="1"/>
  <c r="O28" i="1"/>
  <c r="G11" i="3" s="1"/>
  <c r="M28" i="1"/>
  <c r="E11" i="3" s="1"/>
  <c r="B28" i="2"/>
  <c r="J25" i="1"/>
  <c r="J34" i="1" s="1"/>
  <c r="O25" i="1"/>
  <c r="O34" i="1" s="1"/>
  <c r="G15" i="3" s="1"/>
  <c r="N25" i="1"/>
  <c r="N34" i="1" s="1"/>
  <c r="F15" i="3" s="1"/>
  <c r="M25" i="1"/>
  <c r="M34" i="1" s="1"/>
  <c r="E15" i="3" s="1"/>
  <c r="L25" i="1"/>
  <c r="L34" i="1" s="1"/>
  <c r="D15" i="3" s="1"/>
  <c r="K25" i="1"/>
  <c r="K34" i="1" s="1"/>
  <c r="C15" i="3" s="1"/>
  <c r="AH76" i="2" l="1"/>
  <c r="R12" i="1"/>
  <c r="R14" i="1"/>
  <c r="R13" i="1"/>
  <c r="Q18" i="1"/>
  <c r="S16" i="1"/>
  <c r="S17" i="1"/>
  <c r="S10" i="1"/>
  <c r="P31" i="1"/>
  <c r="H11" i="3"/>
  <c r="Q20" i="1"/>
  <c r="AF16" i="2"/>
  <c r="H8" i="3" s="1"/>
  <c r="P18" i="1"/>
  <c r="L71" i="1"/>
  <c r="M71" i="1"/>
  <c r="N71" i="1"/>
  <c r="O71" i="1"/>
  <c r="K71" i="1"/>
  <c r="J11" i="1"/>
  <c r="K30" i="1"/>
  <c r="C13" i="3" s="1"/>
  <c r="L30" i="1"/>
  <c r="D13" i="3" s="1"/>
  <c r="M30" i="1"/>
  <c r="E13" i="3" s="1"/>
  <c r="N30" i="1"/>
  <c r="F13" i="3" s="1"/>
  <c r="O30" i="1"/>
  <c r="G13" i="3" s="1"/>
  <c r="J30" i="1"/>
  <c r="K29" i="1"/>
  <c r="C12" i="3" s="1"/>
  <c r="L29" i="1"/>
  <c r="D12" i="3" s="1"/>
  <c r="M29" i="1"/>
  <c r="N29" i="1"/>
  <c r="O29" i="1"/>
  <c r="G12" i="3" s="1"/>
  <c r="J29" i="1"/>
  <c r="D37" i="1"/>
  <c r="E37" i="1"/>
  <c r="F37" i="1"/>
  <c r="C37" i="1"/>
  <c r="B37" i="1"/>
  <c r="N11" i="1"/>
  <c r="O11" i="1"/>
  <c r="M11" i="1"/>
  <c r="K23" i="1"/>
  <c r="L23" i="1"/>
  <c r="M23" i="1"/>
  <c r="N23" i="1"/>
  <c r="O23" i="1"/>
  <c r="J23" i="1"/>
  <c r="K21" i="1"/>
  <c r="K81" i="1" s="1"/>
  <c r="L21" i="1"/>
  <c r="L81" i="1" s="1"/>
  <c r="M21" i="1"/>
  <c r="M81" i="1" s="1"/>
  <c r="N21" i="1"/>
  <c r="N81" i="1" s="1"/>
  <c r="O21" i="1"/>
  <c r="O81" i="1" s="1"/>
  <c r="J21" i="1"/>
  <c r="J81" i="1" s="1"/>
  <c r="K20" i="1"/>
  <c r="L20" i="1"/>
  <c r="M20" i="1"/>
  <c r="N20" i="1"/>
  <c r="O20" i="1"/>
  <c r="J20" i="1"/>
  <c r="K18" i="1"/>
  <c r="K78" i="1" s="1"/>
  <c r="L18" i="1"/>
  <c r="L78" i="1" s="1"/>
  <c r="M18" i="1"/>
  <c r="M78" i="1" s="1"/>
  <c r="N18" i="1"/>
  <c r="N78" i="1" s="1"/>
  <c r="O18" i="1"/>
  <c r="O78" i="1" s="1"/>
  <c r="J18" i="1"/>
  <c r="J78" i="1" s="1"/>
  <c r="K17" i="1"/>
  <c r="L17" i="1"/>
  <c r="M17" i="1"/>
  <c r="N17" i="1"/>
  <c r="O17" i="1"/>
  <c r="J17" i="1"/>
  <c r="K16" i="1"/>
  <c r="L16" i="1"/>
  <c r="M16" i="1"/>
  <c r="N16" i="1"/>
  <c r="O16" i="1"/>
  <c r="J16" i="1"/>
  <c r="K14" i="1"/>
  <c r="K76" i="1" s="1"/>
  <c r="L14" i="1"/>
  <c r="L76" i="1" s="1"/>
  <c r="M14" i="1"/>
  <c r="N14" i="1"/>
  <c r="O14" i="1"/>
  <c r="J14" i="1"/>
  <c r="J76" i="1" s="1"/>
  <c r="K13" i="1"/>
  <c r="L13" i="1"/>
  <c r="M13" i="1"/>
  <c r="N13" i="1"/>
  <c r="N75" i="1" s="1"/>
  <c r="O13" i="1"/>
  <c r="J13" i="1"/>
  <c r="O31" i="1"/>
  <c r="K11" i="1"/>
  <c r="L11" i="1"/>
  <c r="K10" i="1"/>
  <c r="L10" i="1"/>
  <c r="M10" i="1"/>
  <c r="N10" i="1"/>
  <c r="O10" i="1"/>
  <c r="J10" i="1"/>
  <c r="T10" i="1" l="1"/>
  <c r="T17" i="1"/>
  <c r="T16" i="1"/>
  <c r="R29" i="1"/>
  <c r="J12" i="3" s="1"/>
  <c r="AH37" i="2"/>
  <c r="AH33" i="2"/>
  <c r="AH18" i="2"/>
  <c r="AH21" i="2"/>
  <c r="AH14" i="2"/>
  <c r="AH17" i="2"/>
  <c r="R28" i="1"/>
  <c r="J11" i="3" s="1"/>
  <c r="AH40" i="2"/>
  <c r="AH39" i="2"/>
  <c r="AH38" i="2"/>
  <c r="AH32" i="2"/>
  <c r="AH36" i="2"/>
  <c r="R15" i="1"/>
  <c r="R19" i="1"/>
  <c r="R11" i="1"/>
  <c r="AH10" i="2"/>
  <c r="AI76" i="2"/>
  <c r="S14" i="1"/>
  <c r="S12" i="1"/>
  <c r="S13" i="1"/>
  <c r="AG11" i="2"/>
  <c r="I6" i="3"/>
  <c r="Q22" i="1"/>
  <c r="N31" i="1"/>
  <c r="F12" i="3"/>
  <c r="C6" i="3"/>
  <c r="C8" i="3" s="1"/>
  <c r="O80" i="1"/>
  <c r="P22" i="1" s="1"/>
  <c r="P26" i="1" s="1"/>
  <c r="G6" i="3"/>
  <c r="G8" i="3" s="1"/>
  <c r="L80" i="1"/>
  <c r="D6" i="3"/>
  <c r="D8" i="3" s="1"/>
  <c r="M31" i="1"/>
  <c r="E12" i="3"/>
  <c r="N80" i="1"/>
  <c r="F6" i="3"/>
  <c r="F8" i="3" s="1"/>
  <c r="M80" i="1"/>
  <c r="E6" i="3"/>
  <c r="E8" i="3" s="1"/>
  <c r="K73" i="1"/>
  <c r="O76" i="1"/>
  <c r="M73" i="1"/>
  <c r="J73" i="1"/>
  <c r="O73" i="1"/>
  <c r="L73" i="1"/>
  <c r="N73" i="1"/>
  <c r="M75" i="1"/>
  <c r="K75" i="1"/>
  <c r="J75" i="1"/>
  <c r="N76" i="1"/>
  <c r="L75" i="1"/>
  <c r="O75" i="1"/>
  <c r="M76" i="1"/>
  <c r="M12" i="1"/>
  <c r="M15" i="1" s="1"/>
  <c r="M19" i="1" s="1"/>
  <c r="M79" i="1" s="1"/>
  <c r="J12" i="1"/>
  <c r="J74" i="1" s="1"/>
  <c r="L31" i="1"/>
  <c r="K31" i="1"/>
  <c r="J31" i="1"/>
  <c r="J32" i="1" s="1"/>
  <c r="J24" i="1" s="1"/>
  <c r="N12" i="1"/>
  <c r="N15" i="1" s="1"/>
  <c r="N19" i="1" s="1"/>
  <c r="N79" i="1" s="1"/>
  <c r="O72" i="1"/>
  <c r="K12" i="1"/>
  <c r="K74" i="1" s="1"/>
  <c r="O12" i="1"/>
  <c r="O74" i="1" s="1"/>
  <c r="L12" i="1"/>
  <c r="L74" i="1" s="1"/>
  <c r="AI33" i="2" l="1"/>
  <c r="AI37" i="2"/>
  <c r="AI18" i="2"/>
  <c r="S28" i="1"/>
  <c r="K11" i="3" s="1"/>
  <c r="AI14" i="2"/>
  <c r="AI21" i="2"/>
  <c r="AI10" i="2"/>
  <c r="AI32" i="2"/>
  <c r="S11" i="1"/>
  <c r="S15" i="1"/>
  <c r="S19" i="1"/>
  <c r="S18" i="1" s="1"/>
  <c r="AI40" i="2"/>
  <c r="AI17" i="2"/>
  <c r="AI39" i="2"/>
  <c r="AI36" i="2"/>
  <c r="AI38" i="2"/>
  <c r="S29" i="1"/>
  <c r="K12" i="3" s="1"/>
  <c r="R18" i="1"/>
  <c r="AJ76" i="2"/>
  <c r="T13" i="1"/>
  <c r="T14" i="1"/>
  <c r="T12" i="1"/>
  <c r="U17" i="1"/>
  <c r="U10" i="1"/>
  <c r="U16" i="1"/>
  <c r="Q26" i="1"/>
  <c r="Q27" i="1" s="1"/>
  <c r="I5" i="3" s="1"/>
  <c r="I28" i="3" s="1"/>
  <c r="R20" i="1"/>
  <c r="AG12" i="2"/>
  <c r="AG13" i="2"/>
  <c r="P27" i="1"/>
  <c r="H5" i="3" s="1"/>
  <c r="H28" i="3" s="1"/>
  <c r="M74" i="1"/>
  <c r="N74" i="1"/>
  <c r="J15" i="1"/>
  <c r="J19" i="1" s="1"/>
  <c r="O15" i="1"/>
  <c r="O19" i="1" s="1"/>
  <c r="K15" i="1"/>
  <c r="K19" i="1" s="1"/>
  <c r="N22" i="1"/>
  <c r="N101" i="1"/>
  <c r="M22" i="1"/>
  <c r="M101" i="1"/>
  <c r="L15" i="1"/>
  <c r="L19" i="1" s="1"/>
  <c r="F59" i="1"/>
  <c r="G59" i="1"/>
  <c r="AG16" i="2" l="1"/>
  <c r="I8" i="3" s="1"/>
  <c r="AK76" i="2"/>
  <c r="U14" i="1"/>
  <c r="U13" i="1"/>
  <c r="U12" i="1"/>
  <c r="AJ10" i="2"/>
  <c r="AJ36" i="2"/>
  <c r="T11" i="1"/>
  <c r="AJ17" i="2"/>
  <c r="T19" i="1"/>
  <c r="AJ18" i="2"/>
  <c r="AJ38" i="2"/>
  <c r="T28" i="1"/>
  <c r="L11" i="3" s="1"/>
  <c r="AJ21" i="2"/>
  <c r="AJ32" i="2"/>
  <c r="AJ39" i="2"/>
  <c r="T29" i="1"/>
  <c r="L12" i="3" s="1"/>
  <c r="AJ14" i="2"/>
  <c r="AJ33" i="2"/>
  <c r="AJ40" i="2"/>
  <c r="T15" i="1"/>
  <c r="AJ37" i="2"/>
  <c r="V17" i="1"/>
  <c r="V16" i="1"/>
  <c r="V10" i="1"/>
  <c r="AH11" i="2"/>
  <c r="R22" i="1"/>
  <c r="J6" i="3"/>
  <c r="P32" i="1"/>
  <c r="P33" i="1" s="1"/>
  <c r="P35" i="1" s="1"/>
  <c r="J101" i="1"/>
  <c r="J79" i="1"/>
  <c r="J22" i="1"/>
  <c r="K22" i="1"/>
  <c r="K79" i="1"/>
  <c r="O22" i="1"/>
  <c r="O79" i="1"/>
  <c r="L101" i="1"/>
  <c r="L79" i="1"/>
  <c r="K101" i="1"/>
  <c r="O101" i="1"/>
  <c r="L22" i="1"/>
  <c r="G29" i="1"/>
  <c r="G37" i="1" s="1"/>
  <c r="T18" i="1" l="1"/>
  <c r="AL76" i="2"/>
  <c r="V13" i="1"/>
  <c r="V12" i="1"/>
  <c r="V14" i="1"/>
  <c r="U11" i="1"/>
  <c r="AK10" i="2"/>
  <c r="AK39" i="2"/>
  <c r="AK38" i="2"/>
  <c r="AK14" i="2"/>
  <c r="AK32" i="2"/>
  <c r="AK33" i="2"/>
  <c r="AK37" i="2"/>
  <c r="AK18" i="2"/>
  <c r="U19" i="1"/>
  <c r="U28" i="1"/>
  <c r="M11" i="3" s="1"/>
  <c r="U15" i="1"/>
  <c r="U29" i="1"/>
  <c r="M12" i="3" s="1"/>
  <c r="AK17" i="2"/>
  <c r="AK21" i="2"/>
  <c r="AK36" i="2"/>
  <c r="AK40" i="2"/>
  <c r="R26" i="1"/>
  <c r="R27" i="1" s="1"/>
  <c r="J5" i="3" s="1"/>
  <c r="J28" i="3" s="1"/>
  <c r="AH13" i="2"/>
  <c r="S20" i="1"/>
  <c r="AH12" i="2"/>
  <c r="P24" i="1"/>
  <c r="P23" i="1" s="1"/>
  <c r="AF19" i="2" s="1"/>
  <c r="AF23" i="2" s="1"/>
  <c r="H14" i="3"/>
  <c r="AF58" i="2"/>
  <c r="C6" i="4" s="1"/>
  <c r="C14" i="4" s="1"/>
  <c r="J26" i="1"/>
  <c r="U18" i="1" l="1"/>
  <c r="AL21" i="2"/>
  <c r="AL18" i="2"/>
  <c r="V29" i="1"/>
  <c r="N12" i="3" s="1"/>
  <c r="AL40" i="2"/>
  <c r="AL17" i="2"/>
  <c r="AL37" i="2"/>
  <c r="V19" i="1"/>
  <c r="V11" i="1"/>
  <c r="AL39" i="2"/>
  <c r="AL10" i="2"/>
  <c r="V28" i="1"/>
  <c r="N11" i="3" s="1"/>
  <c r="AL14" i="2"/>
  <c r="AL32" i="2"/>
  <c r="AL38" i="2"/>
  <c r="AL36" i="2"/>
  <c r="V15" i="1"/>
  <c r="AL33" i="2"/>
  <c r="AH16" i="2"/>
  <c r="J8" i="3" s="1"/>
  <c r="AI11" i="2"/>
  <c r="S22" i="1"/>
  <c r="K6" i="3"/>
  <c r="AF28" i="2"/>
  <c r="AF29" i="2" s="1"/>
  <c r="AF31" i="2" s="1"/>
  <c r="AF24" i="2"/>
  <c r="H29" i="3" s="1"/>
  <c r="H30" i="3" s="1"/>
  <c r="H7" i="3"/>
  <c r="H9" i="3" s="1"/>
  <c r="J27" i="1"/>
  <c r="J33" i="1" s="1"/>
  <c r="J35" i="1" s="1"/>
  <c r="J82" i="1"/>
  <c r="M32" i="1"/>
  <c r="H17" i="3" l="1"/>
  <c r="V18" i="1"/>
  <c r="S26" i="1"/>
  <c r="S27" i="1" s="1"/>
  <c r="K5" i="3" s="1"/>
  <c r="K28" i="3" s="1"/>
  <c r="T20" i="1"/>
  <c r="AI12" i="2"/>
  <c r="AI13" i="2"/>
  <c r="AF42" i="2"/>
  <c r="AG35" i="2"/>
  <c r="AG34" i="2"/>
  <c r="M24" i="1"/>
  <c r="M26" i="1" s="1"/>
  <c r="E14" i="3"/>
  <c r="L32" i="1"/>
  <c r="K32" i="1"/>
  <c r="O32" i="1"/>
  <c r="N32" i="1"/>
  <c r="AI16" i="2" l="1"/>
  <c r="K8" i="3" s="1"/>
  <c r="AJ11" i="2"/>
  <c r="T22" i="1"/>
  <c r="T26" i="1" s="1"/>
  <c r="T27" i="1" s="1"/>
  <c r="L5" i="3" s="1"/>
  <c r="L28" i="3" s="1"/>
  <c r="L6" i="3"/>
  <c r="AF41" i="2"/>
  <c r="H10" i="3" s="1"/>
  <c r="H16" i="3" s="1"/>
  <c r="Q30" i="1"/>
  <c r="AF44" i="2"/>
  <c r="O24" i="1"/>
  <c r="O26" i="1" s="1"/>
  <c r="G14" i="3"/>
  <c r="K24" i="1"/>
  <c r="K26" i="1" s="1"/>
  <c r="C14" i="3"/>
  <c r="N24" i="1"/>
  <c r="N26" i="1" s="1"/>
  <c r="F14" i="3"/>
  <c r="L24" i="1"/>
  <c r="L26" i="1" s="1"/>
  <c r="D14" i="3"/>
  <c r="M27" i="1"/>
  <c r="M82" i="1"/>
  <c r="AJ13" i="2" l="1"/>
  <c r="U20" i="1"/>
  <c r="AJ12" i="2"/>
  <c r="H18" i="3"/>
  <c r="H23" i="3" s="1"/>
  <c r="C5" i="4"/>
  <c r="C27" i="4" s="1"/>
  <c r="C32" i="4" s="1"/>
  <c r="Q31" i="1"/>
  <c r="Q32" i="1" s="1"/>
  <c r="I13" i="3"/>
  <c r="K27" i="1"/>
  <c r="K82" i="1"/>
  <c r="N27" i="1"/>
  <c r="N82" i="1"/>
  <c r="L27" i="1"/>
  <c r="L82" i="1"/>
  <c r="M33" i="1"/>
  <c r="M35" i="1" s="1"/>
  <c r="E17" i="3" s="1"/>
  <c r="E5" i="3"/>
  <c r="O27" i="1"/>
  <c r="O82" i="1"/>
  <c r="E9" i="3" l="1"/>
  <c r="E16" i="3" s="1"/>
  <c r="E18" i="3" s="1"/>
  <c r="E23" i="3" s="1"/>
  <c r="E24" i="3" s="1"/>
  <c r="E28" i="3"/>
  <c r="E30" i="3" s="1"/>
  <c r="AJ16" i="2"/>
  <c r="L8" i="3" s="1"/>
  <c r="AK11" i="2"/>
  <c r="M6" i="3"/>
  <c r="U22" i="1"/>
  <c r="U26" i="1" s="1"/>
  <c r="U27" i="1" s="1"/>
  <c r="M5" i="3" s="1"/>
  <c r="M28" i="3" s="1"/>
  <c r="Q33" i="1"/>
  <c r="Q35" i="1" s="1"/>
  <c r="L33" i="1"/>
  <c r="L35" i="1" s="1"/>
  <c r="D17" i="3" s="1"/>
  <c r="D5" i="3"/>
  <c r="N33" i="1"/>
  <c r="N35" i="1" s="1"/>
  <c r="F17" i="3" s="1"/>
  <c r="F5" i="3"/>
  <c r="O33" i="1"/>
  <c r="O35" i="1" s="1"/>
  <c r="G17" i="3" s="1"/>
  <c r="G9" i="3"/>
  <c r="G16" i="3" s="1"/>
  <c r="K33" i="1"/>
  <c r="K35" i="1" s="1"/>
  <c r="C5" i="3"/>
  <c r="C9" i="3" l="1"/>
  <c r="C16" i="3" s="1"/>
  <c r="C28" i="3"/>
  <c r="C30" i="3" s="1"/>
  <c r="F9" i="3"/>
  <c r="F16" i="3" s="1"/>
  <c r="F28" i="3"/>
  <c r="F30" i="3" s="1"/>
  <c r="D9" i="3"/>
  <c r="D16" i="3" s="1"/>
  <c r="D28" i="3"/>
  <c r="D30" i="3" s="1"/>
  <c r="AK12" i="2"/>
  <c r="AK13" i="2"/>
  <c r="V20" i="1"/>
  <c r="AG58" i="2"/>
  <c r="D6" i="4" s="1"/>
  <c r="D14" i="4" s="1"/>
  <c r="I14" i="3"/>
  <c r="Q24" i="1"/>
  <c r="Q23" i="1" s="1"/>
  <c r="AG19" i="2" s="1"/>
  <c r="AG23" i="2" s="1"/>
  <c r="G18" i="3"/>
  <c r="G23" i="3" s="1"/>
  <c r="G24" i="3" s="1"/>
  <c r="H22" i="3" s="1"/>
  <c r="H24" i="3" s="1"/>
  <c r="I22" i="3" s="1"/>
  <c r="F18" i="3"/>
  <c r="F23" i="3" s="1"/>
  <c r="F24" i="3" s="1"/>
  <c r="D18" i="3"/>
  <c r="D23" i="3" s="1"/>
  <c r="D24" i="3" s="1"/>
  <c r="C17" i="3"/>
  <c r="C18" i="3" s="1"/>
  <c r="C23" i="3" s="1"/>
  <c r="C24" i="3" s="1"/>
  <c r="AK16" i="2" l="1"/>
  <c r="M8" i="3" s="1"/>
  <c r="AL11" i="2"/>
  <c r="V22" i="1"/>
  <c r="V26" i="1" s="1"/>
  <c r="V27" i="1" s="1"/>
  <c r="N5" i="3" s="1"/>
  <c r="N28" i="3" s="1"/>
  <c r="N6" i="3"/>
  <c r="AG28" i="2"/>
  <c r="AG29" i="2" s="1"/>
  <c r="AG31" i="2" s="1"/>
  <c r="I7" i="3"/>
  <c r="I9" i="3" s="1"/>
  <c r="AG24" i="2"/>
  <c r="I29" i="3" s="1"/>
  <c r="I30" i="3" s="1"/>
  <c r="I17" i="3" l="1"/>
  <c r="AL12" i="2"/>
  <c r="AL13" i="2"/>
  <c r="AH34" i="2"/>
  <c r="AH35" i="2"/>
  <c r="AG42" i="2"/>
  <c r="AL16" i="2" l="1"/>
  <c r="N8" i="3" s="1"/>
  <c r="AG41" i="2"/>
  <c r="I10" i="3" s="1"/>
  <c r="I16" i="3" s="1"/>
  <c r="R30" i="1"/>
  <c r="AG44" i="2"/>
  <c r="I18" i="3" l="1"/>
  <c r="I23" i="3" s="1"/>
  <c r="I24" i="3" s="1"/>
  <c r="J22" i="3" s="1"/>
  <c r="D5" i="4"/>
  <c r="D27" i="4" s="1"/>
  <c r="D32" i="4" s="1"/>
  <c r="R31" i="1"/>
  <c r="R32" i="1" s="1"/>
  <c r="J13" i="3"/>
  <c r="R33" i="1" l="1"/>
  <c r="R35" i="1" s="1"/>
  <c r="AH58" i="2" s="1"/>
  <c r="E6" i="4" s="1"/>
  <c r="E14" i="4" s="1"/>
  <c r="J14" i="3"/>
  <c r="R24" i="1"/>
  <c r="R23" i="1" s="1"/>
  <c r="AH19" i="2" s="1"/>
  <c r="AH23" i="2" s="1"/>
  <c r="AH28" i="2" l="1"/>
  <c r="AH29" i="2" s="1"/>
  <c r="AH31" i="2" s="1"/>
  <c r="AH24" i="2"/>
  <c r="J29" i="3" s="1"/>
  <c r="J30" i="3" s="1"/>
  <c r="J7" i="3"/>
  <c r="J9" i="3" s="1"/>
  <c r="J17" i="3" l="1"/>
  <c r="AH42" i="2"/>
  <c r="AI35" i="2"/>
  <c r="AI34" i="2"/>
  <c r="AH44" i="2" l="1"/>
  <c r="S30" i="1"/>
  <c r="AH41" i="2"/>
  <c r="J10" i="3" s="1"/>
  <c r="J16" i="3" s="1"/>
  <c r="J18" i="3" l="1"/>
  <c r="J23" i="3" s="1"/>
  <c r="J24" i="3" s="1"/>
  <c r="K22" i="3" s="1"/>
  <c r="E5" i="4"/>
  <c r="E27" i="4" s="1"/>
  <c r="E32" i="4" s="1"/>
  <c r="S31" i="1"/>
  <c r="S32" i="1" s="1"/>
  <c r="K13" i="3"/>
  <c r="K14" i="3" l="1"/>
  <c r="S24" i="1"/>
  <c r="S23" i="1" s="1"/>
  <c r="AI19" i="2" s="1"/>
  <c r="AI23" i="2" s="1"/>
  <c r="S33" i="1"/>
  <c r="S35" i="1" s="1"/>
  <c r="AI24" i="2" l="1"/>
  <c r="K29" i="3" s="1"/>
  <c r="K30" i="3" s="1"/>
  <c r="K7" i="3"/>
  <c r="K9" i="3" s="1"/>
  <c r="AI58" i="2"/>
  <c r="F6" i="4" s="1"/>
  <c r="F14" i="4" s="1"/>
  <c r="AI28" i="2" l="1"/>
  <c r="AI29" i="2" s="1"/>
  <c r="AI31" i="2" s="1"/>
  <c r="AJ35" i="2"/>
  <c r="AJ34" i="2"/>
  <c r="K17" i="3" l="1"/>
  <c r="AI42" i="2"/>
  <c r="AI44" i="2" s="1"/>
  <c r="T30" i="1" l="1"/>
  <c r="T31" i="1" s="1"/>
  <c r="T32" i="1" s="1"/>
  <c r="AI41" i="2"/>
  <c r="K10" i="3" s="1"/>
  <c r="K16" i="3" s="1"/>
  <c r="L13" i="3" l="1"/>
  <c r="K18" i="3"/>
  <c r="K23" i="3" s="1"/>
  <c r="K24" i="3" s="1"/>
  <c r="L22" i="3" s="1"/>
  <c r="F5" i="4"/>
  <c r="F27" i="4" s="1"/>
  <c r="F32" i="4" s="1"/>
  <c r="T33" i="1"/>
  <c r="T35" i="1" s="1"/>
  <c r="AJ58" i="2" s="1"/>
  <c r="G6" i="4" s="1"/>
  <c r="G14" i="4" s="1"/>
  <c r="T24" i="1"/>
  <c r="T23" i="1" s="1"/>
  <c r="AJ19" i="2" s="1"/>
  <c r="AJ23" i="2" s="1"/>
  <c r="L14" i="3"/>
  <c r="AJ28" i="2" l="1"/>
  <c r="AJ29" i="2" s="1"/>
  <c r="AJ31" i="2" s="1"/>
  <c r="AJ24" i="2"/>
  <c r="L29" i="3" s="1"/>
  <c r="L30" i="3" s="1"/>
  <c r="L7" i="3"/>
  <c r="L9" i="3" s="1"/>
  <c r="L17" i="3" l="1"/>
  <c r="AK34" i="2"/>
  <c r="AK35" i="2"/>
  <c r="AJ42" i="2"/>
  <c r="U30" i="1" l="1"/>
  <c r="AJ41" i="2"/>
  <c r="L10" i="3" s="1"/>
  <c r="L16" i="3" s="1"/>
  <c r="AJ44" i="2"/>
  <c r="L18" i="3" l="1"/>
  <c r="L23" i="3" s="1"/>
  <c r="L24" i="3" s="1"/>
  <c r="M22" i="3" s="1"/>
  <c r="G5" i="4"/>
  <c r="G27" i="4" s="1"/>
  <c r="G32" i="4" s="1"/>
  <c r="U31" i="1"/>
  <c r="U32" i="1" s="1"/>
  <c r="M13" i="3"/>
  <c r="U24" i="1" l="1"/>
  <c r="U23" i="1" s="1"/>
  <c r="AK19" i="2" s="1"/>
  <c r="AK23" i="2" s="1"/>
  <c r="U33" i="1"/>
  <c r="U35" i="1" s="1"/>
  <c r="AK58" i="2" s="1"/>
  <c r="H6" i="4" s="1"/>
  <c r="H14" i="4" s="1"/>
  <c r="H19" i="4" s="1"/>
  <c r="M14" i="3"/>
  <c r="AK28" i="2" l="1"/>
  <c r="AK29" i="2" s="1"/>
  <c r="AK31" i="2" s="1"/>
  <c r="AK24" i="2"/>
  <c r="M7" i="3"/>
  <c r="M9" i="3" s="1"/>
  <c r="AL34" i="2" l="1"/>
  <c r="M29" i="3"/>
  <c r="M30" i="3" s="1"/>
  <c r="AL35" i="2"/>
  <c r="AK42" i="2"/>
  <c r="AK44" i="2" s="1"/>
  <c r="M17" i="3"/>
  <c r="V30" i="1" l="1"/>
  <c r="AK41" i="2"/>
  <c r="M10" i="3" s="1"/>
  <c r="M16" i="3" s="1"/>
  <c r="M18" i="3" l="1"/>
  <c r="M23" i="3" s="1"/>
  <c r="M24" i="3" s="1"/>
  <c r="N22" i="3" s="1"/>
  <c r="H5" i="4"/>
  <c r="H27" i="4" s="1"/>
  <c r="H32" i="4" s="1"/>
  <c r="V31" i="1"/>
  <c r="V32" i="1" s="1"/>
  <c r="N13" i="3"/>
  <c r="V33" i="1" l="1"/>
  <c r="V35" i="1" s="1"/>
  <c r="AL58" i="2" l="1"/>
  <c r="I6" i="4" s="1"/>
  <c r="I14" i="4" s="1"/>
  <c r="H17" i="4" s="1"/>
  <c r="V24" i="1"/>
  <c r="V23" i="1" s="1"/>
  <c r="AL19" i="2" s="1"/>
  <c r="AL23" i="2" s="1"/>
  <c r="N14" i="3"/>
  <c r="H18" i="4" l="1"/>
  <c r="C20" i="4" s="1"/>
  <c r="AL28" i="2"/>
  <c r="AL29" i="2" s="1"/>
  <c r="AL31" i="2" s="1"/>
  <c r="AL24" i="2"/>
  <c r="N29" i="3" s="1"/>
  <c r="N30" i="3" s="1"/>
  <c r="N7" i="3"/>
  <c r="N9" i="3" s="1"/>
  <c r="AL42" i="2" l="1"/>
  <c r="AL44" i="2" s="1"/>
  <c r="N17" i="3"/>
  <c r="AL41" i="2" l="1"/>
  <c r="N10" i="3" s="1"/>
  <c r="N16" i="3" s="1"/>
  <c r="N18" i="3" l="1"/>
  <c r="N23" i="3" s="1"/>
  <c r="N24" i="3" s="1"/>
  <c r="I5" i="4"/>
  <c r="I27" i="4" s="1"/>
  <c r="H30" i="4" s="1"/>
  <c r="H31" i="4" l="1"/>
  <c r="C33" i="4" s="1"/>
</calcChain>
</file>

<file path=xl/sharedStrings.xml><?xml version="1.0" encoding="utf-8"?>
<sst xmlns="http://schemas.openxmlformats.org/spreadsheetml/2006/main" count="399" uniqueCount="228">
  <si>
    <t>Statkraft Group income statement</t>
  </si>
  <si>
    <t>NOK million</t>
  </si>
  <si>
    <t>Gross operating revenues and other income</t>
  </si>
  <si>
    <t>Net operating revenues and other income</t>
  </si>
  <si>
    <t>Net financial items</t>
  </si>
  <si>
    <t>Profit/loss before tax</t>
  </si>
  <si>
    <t>Net profit/loss</t>
  </si>
  <si>
    <t>Of which non-controlling interest</t>
  </si>
  <si>
    <t>Of which owners of the parent</t>
  </si>
  <si>
    <t>Other comprehensive income (OCI)</t>
  </si>
  <si>
    <t>Items in other comprehensive income that recycles over profit/loss:</t>
  </si>
  <si>
    <t>Changes in fair value of financial instruments, net of tax</t>
  </si>
  <si>
    <t>Items recorded in OCI in equity accounted investments</t>
  </si>
  <si>
    <t>Recycling of financial instruments related to cash flow hedges, net of tax</t>
  </si>
  <si>
    <t>Recycling of currency translation effects related to foreign operations disposed</t>
  </si>
  <si>
    <t xml:space="preserve">Currency translation effects </t>
  </si>
  <si>
    <t>Total</t>
  </si>
  <si>
    <t>Items in other comprehensive income that will not recycle over profit/loss:</t>
  </si>
  <si>
    <t>Changes in fair value of equity instruments, net of tax</t>
  </si>
  <si>
    <t>Estimate deviation pensions in equity accounted investments</t>
  </si>
  <si>
    <t>Estimate deviation pensions, net of tax</t>
  </si>
  <si>
    <t>Other comprehensive income</t>
  </si>
  <si>
    <t>Total comprehensive income</t>
  </si>
  <si>
    <t>Of which non-controlling intereset</t>
  </si>
  <si>
    <t>Operating profit/loss (EBIT)</t>
  </si>
  <si>
    <t>Sum operating expenses</t>
  </si>
  <si>
    <t>Statkraft Group balance sheet</t>
  </si>
  <si>
    <t>ASSETS</t>
  </si>
  <si>
    <t>Non-current assets</t>
  </si>
  <si>
    <t>Current assets</t>
  </si>
  <si>
    <t>Assets</t>
  </si>
  <si>
    <t>EQUITY AND OTHER LIABILITIES</t>
  </si>
  <si>
    <t>Total equity attributable to owners of the parent</t>
  </si>
  <si>
    <t>Equity</t>
  </si>
  <si>
    <t>Non-current liabilities</t>
  </si>
  <si>
    <t>Current liabilities</t>
  </si>
  <si>
    <t>Equity and liabilities</t>
  </si>
  <si>
    <t>Changes in fair value of financial instruments</t>
  </si>
  <si>
    <t>Income tax related to changes in fair value of financial instruments</t>
  </si>
  <si>
    <t>Recycling of financial instruments related to cash flow hedges</t>
  </si>
  <si>
    <t>Income tax from recycling of financials intstruments related to cash flow hedges</t>
  </si>
  <si>
    <t>Statkraft Group income statement reformulated</t>
  </si>
  <si>
    <t>Historical period</t>
  </si>
  <si>
    <t>Tax reported</t>
  </si>
  <si>
    <t>(-/+) tax shield from NFE net financial expenses</t>
  </si>
  <si>
    <t>NOPAT</t>
  </si>
  <si>
    <t>Explicit forecast period</t>
  </si>
  <si>
    <t>Terminal period</t>
  </si>
  <si>
    <t>EBITDA/revenue</t>
  </si>
  <si>
    <t>Interest rate</t>
  </si>
  <si>
    <t>Tax rate</t>
  </si>
  <si>
    <t>NWC/revenue</t>
  </si>
  <si>
    <t>NIBD/invested capital</t>
  </si>
  <si>
    <t>noe her jeg ikke skjønte</t>
  </si>
  <si>
    <t>Sales revenues (O)</t>
  </si>
  <si>
    <t>Other operating expenses (O)</t>
  </si>
  <si>
    <t>Depreciations and amortisations (O)</t>
  </si>
  <si>
    <t>Salaries and payroll costs (O)</t>
  </si>
  <si>
    <t>Energy purchase (O)</t>
  </si>
  <si>
    <t>Transmission costs (O)</t>
  </si>
  <si>
    <t>Impairments/reversal of impairments (O)</t>
  </si>
  <si>
    <t>Property tax and licens fees (O)</t>
  </si>
  <si>
    <t>Income tax expense (O/F)</t>
  </si>
  <si>
    <t>Net currency effects (F)</t>
  </si>
  <si>
    <t>Gains/losses from market activities (F)</t>
  </si>
  <si>
    <t>Sales revenues</t>
  </si>
  <si>
    <t>Shares of profit/loss in equity accounted investments (O)</t>
  </si>
  <si>
    <t>Interest and other financial items (F)</t>
  </si>
  <si>
    <t>Share of profit/loss in equity accounted investments (O)</t>
  </si>
  <si>
    <t>Net financial income</t>
  </si>
  <si>
    <t>Tax-shield from NFE</t>
  </si>
  <si>
    <t>Net income</t>
  </si>
  <si>
    <t>Depreciation/Gross prior year PPE</t>
  </si>
  <si>
    <t>Produced power TWh</t>
  </si>
  <si>
    <t>Other operating expenses/Produced TWh</t>
  </si>
  <si>
    <t>Energy purchase/Sales revenue</t>
  </si>
  <si>
    <t>Effective tax rate</t>
  </si>
  <si>
    <t>Other operating income (F) SKAL VÆRE O MEN UNDER NET INCOME</t>
  </si>
  <si>
    <t>(-/+) tax shield from other operating income</t>
  </si>
  <si>
    <t>Tax expense</t>
  </si>
  <si>
    <t xml:space="preserve">Net income </t>
  </si>
  <si>
    <t xml:space="preserve">Adj. Net revenue </t>
  </si>
  <si>
    <t>Adj. Gross Profit</t>
  </si>
  <si>
    <t>Adj. EBITDA</t>
  </si>
  <si>
    <t>Adj. EBIT</t>
  </si>
  <si>
    <t>Adj. NOPAT</t>
  </si>
  <si>
    <t>Statement of cash flow Statkraft AS Group</t>
  </si>
  <si>
    <t>Paid-in equity (E)</t>
  </si>
  <si>
    <t>Other reserves (E)</t>
  </si>
  <si>
    <t>Retained earnings (E)</t>
  </si>
  <si>
    <t>Non-controlling interest (M)</t>
  </si>
  <si>
    <t>Adj. Net income</t>
  </si>
  <si>
    <t>Other operating income net of tax (non-reccuring)</t>
  </si>
  <si>
    <t>Marginal tax  rate</t>
  </si>
  <si>
    <t>Derivatives (F) (10)</t>
  </si>
  <si>
    <t>Financial investments (F) (10)</t>
  </si>
  <si>
    <t>Deferred tax assets (O) (22)</t>
  </si>
  <si>
    <t>Intangible assets (O) (23)</t>
  </si>
  <si>
    <t>Property, plant and equipment (O) (24,25)</t>
  </si>
  <si>
    <t>Equity accounted investments (O) (4,26)</t>
  </si>
  <si>
    <t>Inventories (O) (28)</t>
  </si>
  <si>
    <t>Receivables (O) (29)</t>
  </si>
  <si>
    <t>Cash and cash equivalents (inkl. restricred cash) (F) (30)</t>
  </si>
  <si>
    <t>Deferred tax (O) (22)</t>
  </si>
  <si>
    <t>Pension liability (F) (17)</t>
  </si>
  <si>
    <t>Other non-current assets (F) (17,27)</t>
  </si>
  <si>
    <t>Other non-current liabilities/provisions (O) (31)</t>
  </si>
  <si>
    <t>Provisions allocated to capital employment (O) (29)</t>
  </si>
  <si>
    <t>Taxes payable (O) (22)</t>
  </si>
  <si>
    <t>Other interest-free liabilities (O) (33)</t>
  </si>
  <si>
    <t>Interest-bearing liabilities (O/F) (25,32)</t>
  </si>
  <si>
    <t>Interest free liabilities allocated to capital employed (O) (31)</t>
  </si>
  <si>
    <t>ONCA</t>
  </si>
  <si>
    <t>FA</t>
  </si>
  <si>
    <t>OCA</t>
  </si>
  <si>
    <t>TOTAL ASSETS</t>
  </si>
  <si>
    <t>NCOL</t>
  </si>
  <si>
    <t>Prepayments related to long-term power sales agreements (32) (O)</t>
  </si>
  <si>
    <t>IBD</t>
  </si>
  <si>
    <t>COL</t>
  </si>
  <si>
    <t>Total Equity and Liabilities</t>
  </si>
  <si>
    <t>Long term Interest-bearing liabilities (O/F) (25,32)</t>
  </si>
  <si>
    <t>Short term Interest-bearing liabilities (O/F) (25,32)</t>
  </si>
  <si>
    <t>Other non-current liabilities (O) (31)</t>
  </si>
  <si>
    <t>Prepayments (32) (O)</t>
  </si>
  <si>
    <t>NONCA</t>
  </si>
  <si>
    <t>Prepayments  (32) (O)</t>
  </si>
  <si>
    <t>Liabilities allocated to capital employed (O) (31)</t>
  </si>
  <si>
    <t>NOWC (net operating working capital)</t>
  </si>
  <si>
    <t>NOA (NONCA + NOWC)</t>
  </si>
  <si>
    <t>TOTAL CE= NOA + FA</t>
  </si>
  <si>
    <t>Total E + IBD</t>
  </si>
  <si>
    <t>NIBD</t>
  </si>
  <si>
    <t>Total E + NIBD</t>
  </si>
  <si>
    <t>Cash and cash equivalents (F) (30)</t>
  </si>
  <si>
    <t>NOA (NONCA + NOWC) = Invested capital</t>
  </si>
  <si>
    <t>Statkraft Group balance sheet reformulated TA-format</t>
  </si>
  <si>
    <t>Statkraft Group balance sheet reformulated CE-format</t>
  </si>
  <si>
    <t>Statkraft Group balance sheet reformulated NOA-format</t>
  </si>
  <si>
    <t>Selected ratios</t>
  </si>
  <si>
    <t>Production growth TWh</t>
  </si>
  <si>
    <t>Production growth TWh avarage</t>
  </si>
  <si>
    <t>Sales/(production GWh*Spotpice GWh)</t>
  </si>
  <si>
    <t>Anta nyinvesteringer som en ratio av produksjon</t>
  </si>
  <si>
    <t>Average Spot price NOK/TWh</t>
  </si>
  <si>
    <t>Transmission cost/Sales revenue</t>
  </si>
  <si>
    <t>Vedlikehold</t>
  </si>
  <si>
    <t>Increased capacity</t>
  </si>
  <si>
    <t>Shares</t>
  </si>
  <si>
    <t>Investments MNOK</t>
  </si>
  <si>
    <t>Dividends MNOK</t>
  </si>
  <si>
    <t>finner ikke</t>
  </si>
  <si>
    <t>Sales revenue/Net revenue</t>
  </si>
  <si>
    <t>EBITDA/Net revenue</t>
  </si>
  <si>
    <t>Marginal tax rate</t>
  </si>
  <si>
    <t>Tax expense/Income before tax (effective tax rate)</t>
  </si>
  <si>
    <t>(-/+) Changes in NOWC</t>
  </si>
  <si>
    <t>(-/+) Changes in NONCA inkl. depr</t>
  </si>
  <si>
    <t>FCFF</t>
  </si>
  <si>
    <t>(+/-) Change in NIBD excl. Cash</t>
  </si>
  <si>
    <t>FCFE</t>
  </si>
  <si>
    <t>Dividends</t>
  </si>
  <si>
    <t>Cash surplus</t>
  </si>
  <si>
    <t xml:space="preserve">Gains/losses from market activities </t>
  </si>
  <si>
    <t xml:space="preserve">Net currency effects </t>
  </si>
  <si>
    <t xml:space="preserve">Interest and other financial items </t>
  </si>
  <si>
    <t>Cash at the beginning of peridod</t>
  </si>
  <si>
    <t>Cash at the end of the period</t>
  </si>
  <si>
    <t>+ Depreciation and impairment</t>
  </si>
  <si>
    <t>Gains/losses from market activities/Net revenue</t>
  </si>
  <si>
    <t>Net currency effects/Net revenue</t>
  </si>
  <si>
    <t>Salaries/production TWh</t>
  </si>
  <si>
    <t>Selected Ratios</t>
  </si>
  <si>
    <t>Deferred tax/PP&amp;E</t>
  </si>
  <si>
    <r>
      <t xml:space="preserve">Dividends </t>
    </r>
    <r>
      <rPr>
        <i/>
        <sz val="11"/>
        <color indexed="8"/>
        <rFont val="Calibri"/>
        <family val="2"/>
      </rPr>
      <t>(in millions)</t>
    </r>
  </si>
  <si>
    <t>Dividend ratio (Dividend/Net income)</t>
  </si>
  <si>
    <t>CAPEX/Sales</t>
  </si>
  <si>
    <r>
      <t xml:space="preserve">Change in NOWC </t>
    </r>
    <r>
      <rPr>
        <i/>
        <sz val="11"/>
        <color indexed="8"/>
        <rFont val="Calibri"/>
        <family val="2"/>
      </rPr>
      <t>(in millions)</t>
    </r>
  </si>
  <si>
    <t>Intangible assets/Net Revenues</t>
  </si>
  <si>
    <t>Other non current-liabilities/Net revenue</t>
  </si>
  <si>
    <t>Capital expenditures (CAPEX) in millions</t>
  </si>
  <si>
    <t>Interest and other financial items/NIBDn-1</t>
  </si>
  <si>
    <t>Depreciations/PPE+Intangible assets n-1</t>
  </si>
  <si>
    <t>Inventories/Net revenue</t>
  </si>
  <si>
    <t>Account receivable/ Net revenues</t>
  </si>
  <si>
    <t>Account payable/Cost of goods</t>
  </si>
  <si>
    <t>Tax payable/Tax reported</t>
  </si>
  <si>
    <t>Other interest-free liabilities/Net revenue</t>
  </si>
  <si>
    <t>Average Spot price NOK/TWh in numbers</t>
  </si>
  <si>
    <t>Produced power TWh in numbers</t>
  </si>
  <si>
    <t>Impairments in numbers</t>
  </si>
  <si>
    <t>Derivatives non current/Net revenue</t>
  </si>
  <si>
    <t>Pension liability/Net revenue</t>
  </si>
  <si>
    <t>Long term Interest-bearing liabilities/NOA</t>
  </si>
  <si>
    <t>Short term Interest-bearing liabilities/NOA</t>
  </si>
  <si>
    <t>Derivatives assets/Net revenue</t>
  </si>
  <si>
    <t>Derivatives debt/Net revenue</t>
  </si>
  <si>
    <t>Other non-current assets/Net revenue</t>
  </si>
  <si>
    <t>Financial investments/Net revenue</t>
  </si>
  <si>
    <t>Derivatives/Net revenue</t>
  </si>
  <si>
    <t>Equity accounted investments/PP&amp;E</t>
  </si>
  <si>
    <t>Re</t>
  </si>
  <si>
    <t>Change in NOA</t>
  </si>
  <si>
    <t>Explicit</t>
  </si>
  <si>
    <t>Terminal</t>
  </si>
  <si>
    <t>Cost of Equity</t>
  </si>
  <si>
    <t>Discount Factor</t>
  </si>
  <si>
    <t>PV of Terminal per 31.12.2026</t>
  </si>
  <si>
    <t>PV of Terminal per 1.1.2021</t>
  </si>
  <si>
    <t>MVE IN MNOK per 1.1.2021</t>
  </si>
  <si>
    <t>Other operating income non reccuring</t>
  </si>
  <si>
    <t>Average Spot price NOK/KWh</t>
  </si>
  <si>
    <t>WACC</t>
  </si>
  <si>
    <t>Terminal growth</t>
  </si>
  <si>
    <t>PV of Explicit per 1.1.2021</t>
  </si>
  <si>
    <t>MVE in MNOK as of 1.1.2021</t>
  </si>
  <si>
    <t>Dividende model</t>
  </si>
  <si>
    <t>Cost of equity, Re</t>
  </si>
  <si>
    <t>Terminal Growth</t>
  </si>
  <si>
    <t>FCFE model</t>
  </si>
  <si>
    <t>Beta</t>
  </si>
  <si>
    <t>Growth</t>
  </si>
  <si>
    <t>PV of Terminal per 31.12.26</t>
  </si>
  <si>
    <t>Risk-free rate</t>
  </si>
  <si>
    <t>Beta equity</t>
  </si>
  <si>
    <t>Risk premium</t>
  </si>
  <si>
    <t>Power prices terminal period, NOK/KWh</t>
  </si>
  <si>
    <t xml:space="preserve">Growth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</si>
</sst>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0.00000000"/>
    <numFmt numFmtId="166" formatCode="#,##0.0"/>
    <numFmt numFmtId="167" formatCode="0.000"/>
    <numFmt numFmtId="168" formatCode="_-* #,##0_-;\-* #,##0_-;_-* &quot;-&quot;??_-;_-@_-"/>
    <numFmt numFmtId="169" formatCode="0.00000"/>
    <numFmt numFmtId="170" formatCode="_-* #,##0_-;\-* #,##0_-;_-* &quot;-&quot;???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3" fontId="0" fillId="0" borderId="0" xfId="0" applyNumberFormat="1"/>
    <xf numFmtId="3" fontId="1" fillId="0" borderId="0" xfId="0" applyNumberFormat="1" applyFont="1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10" fontId="0" fillId="0" borderId="0" xfId="0" applyNumberFormat="1"/>
    <xf numFmtId="0" fontId="5" fillId="0" borderId="0" xfId="0" applyFont="1"/>
    <xf numFmtId="10" fontId="5" fillId="0" borderId="0" xfId="0" applyNumberFormat="1" applyFont="1"/>
    <xf numFmtId="0" fontId="6" fillId="0" borderId="0" xfId="0" applyFont="1"/>
    <xf numFmtId="4" fontId="0" fillId="0" borderId="0" xfId="0" applyNumberFormat="1"/>
    <xf numFmtId="0" fontId="7" fillId="0" borderId="0" xfId="0" applyFont="1"/>
    <xf numFmtId="0" fontId="0" fillId="0" borderId="1" xfId="0" applyBorder="1"/>
    <xf numFmtId="3" fontId="0" fillId="0" borderId="1" xfId="0" applyNumberFormat="1" applyBorder="1"/>
    <xf numFmtId="0" fontId="6" fillId="0" borderId="1" xfId="0" applyFont="1" applyBorder="1"/>
    <xf numFmtId="3" fontId="4" fillId="0" borderId="0" xfId="0" applyNumberFormat="1" applyFont="1"/>
    <xf numFmtId="9" fontId="5" fillId="0" borderId="0" xfId="0" applyNumberFormat="1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3" fontId="6" fillId="0" borderId="0" xfId="0" applyNumberFormat="1" applyFont="1"/>
    <xf numFmtId="0" fontId="1" fillId="0" borderId="0" xfId="0" applyFont="1" applyAlignment="1">
      <alignment horizontal="right"/>
    </xf>
    <xf numFmtId="0" fontId="0" fillId="0" borderId="0" xfId="0" quotePrefix="1"/>
    <xf numFmtId="9" fontId="0" fillId="0" borderId="0" xfId="0" applyNumberFormat="1"/>
    <xf numFmtId="165" fontId="0" fillId="0" borderId="0" xfId="0" applyNumberFormat="1"/>
    <xf numFmtId="0" fontId="4" fillId="0" borderId="0" xfId="0" applyFont="1"/>
    <xf numFmtId="165" fontId="0" fillId="2" borderId="0" xfId="0" applyNumberFormat="1" applyFill="1"/>
    <xf numFmtId="0" fontId="0" fillId="0" borderId="0" xfId="0" applyAlignment="1">
      <alignment horizontal="left"/>
    </xf>
    <xf numFmtId="10" fontId="1" fillId="0" borderId="0" xfId="0" applyNumberFormat="1" applyFont="1"/>
    <xf numFmtId="0" fontId="9" fillId="0" borderId="1" xfId="0" applyFont="1" applyBorder="1"/>
    <xf numFmtId="2" fontId="0" fillId="0" borderId="0" xfId="0" applyNumberFormat="1"/>
    <xf numFmtId="166" fontId="0" fillId="0" borderId="0" xfId="0" applyNumberFormat="1"/>
    <xf numFmtId="0" fontId="10" fillId="0" borderId="0" xfId="0" applyFont="1"/>
    <xf numFmtId="0" fontId="0" fillId="0" borderId="4" xfId="0" applyBorder="1"/>
    <xf numFmtId="2" fontId="0" fillId="0" borderId="0" xfId="1" applyNumberFormat="1" applyFont="1"/>
    <xf numFmtId="0" fontId="1" fillId="0" borderId="4" xfId="0" applyFont="1" applyBorder="1"/>
    <xf numFmtId="3" fontId="1" fillId="0" borderId="4" xfId="0" applyNumberFormat="1" applyFont="1" applyBorder="1"/>
    <xf numFmtId="4" fontId="6" fillId="0" borderId="0" xfId="0" applyNumberFormat="1" applyFont="1"/>
    <xf numFmtId="4" fontId="0" fillId="0" borderId="1" xfId="0" applyNumberFormat="1" applyBorder="1"/>
    <xf numFmtId="167" fontId="0" fillId="0" borderId="0" xfId="0" applyNumberForma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2" fillId="0" borderId="9" xfId="0" applyFont="1" applyBorder="1" applyAlignment="1">
      <alignment vertical="center"/>
    </xf>
    <xf numFmtId="0" fontId="0" fillId="0" borderId="9" xfId="0" applyBorder="1"/>
    <xf numFmtId="0" fontId="13" fillId="0" borderId="10" xfId="0" applyFont="1" applyBorder="1" applyAlignment="1">
      <alignment horizontal="center" vertical="center"/>
    </xf>
    <xf numFmtId="168" fontId="14" fillId="0" borderId="0" xfId="2" applyNumberFormat="1" applyFont="1" applyBorder="1" applyAlignment="1">
      <alignment vertical="center"/>
    </xf>
    <xf numFmtId="168" fontId="14" fillId="0" borderId="10" xfId="2" applyNumberFormat="1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0" fillId="0" borderId="10" xfId="0" applyBorder="1"/>
    <xf numFmtId="168" fontId="0" fillId="0" borderId="0" xfId="2" applyNumberFormat="1" applyFont="1" applyBorder="1"/>
    <xf numFmtId="0" fontId="1" fillId="0" borderId="11" xfId="0" applyFont="1" applyBorder="1"/>
    <xf numFmtId="170" fontId="1" fillId="0" borderId="12" xfId="0" applyNumberFormat="1" applyFont="1" applyBorder="1"/>
    <xf numFmtId="0" fontId="0" fillId="0" borderId="12" xfId="0" applyBorder="1"/>
    <xf numFmtId="0" fontId="0" fillId="0" borderId="13" xfId="0" applyBorder="1"/>
    <xf numFmtId="0" fontId="13" fillId="0" borderId="0" xfId="0" applyFont="1" applyAlignment="1">
      <alignment horizontal="center" vertical="center"/>
    </xf>
    <xf numFmtId="169" fontId="0" fillId="0" borderId="0" xfId="0" applyNumberFormat="1"/>
    <xf numFmtId="170" fontId="0" fillId="0" borderId="0" xfId="0" applyNumberFormat="1"/>
    <xf numFmtId="9" fontId="0" fillId="0" borderId="0" xfId="1" applyFont="1"/>
    <xf numFmtId="168" fontId="0" fillId="0" borderId="0" xfId="0" applyNumberFormat="1"/>
    <xf numFmtId="0" fontId="0" fillId="0" borderId="14" xfId="0" applyBorder="1"/>
    <xf numFmtId="10" fontId="0" fillId="0" borderId="10" xfId="0" applyNumberFormat="1" applyBorder="1"/>
    <xf numFmtId="169" fontId="0" fillId="0" borderId="10" xfId="0" applyNumberFormat="1" applyBorder="1"/>
    <xf numFmtId="168" fontId="0" fillId="0" borderId="10" xfId="2" applyNumberFormat="1" applyFont="1" applyBorder="1"/>
    <xf numFmtId="170" fontId="0" fillId="0" borderId="10" xfId="0" applyNumberFormat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70" fontId="1" fillId="0" borderId="0" xfId="0" applyNumberFormat="1" applyFont="1"/>
    <xf numFmtId="0" fontId="0" fillId="0" borderId="15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textRotation="90"/>
    </xf>
    <xf numFmtId="0" fontId="1" fillId="0" borderId="0" xfId="0" applyFont="1" applyAlignment="1">
      <alignment horizontal="right" vertic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3" fontId="0" fillId="0" borderId="10" xfId="0" applyNumberFormat="1" applyBorder="1"/>
    <xf numFmtId="0" fontId="0" fillId="0" borderId="11" xfId="0" applyBorder="1"/>
    <xf numFmtId="9" fontId="0" fillId="0" borderId="12" xfId="0" applyNumberFormat="1" applyBorder="1"/>
    <xf numFmtId="3" fontId="0" fillId="0" borderId="0" xfId="0" applyNumberFormat="1" applyAlignment="1">
      <alignment vertical="center"/>
    </xf>
    <xf numFmtId="3" fontId="0" fillId="2" borderId="0" xfId="0" applyNumberFormat="1" applyFill="1"/>
    <xf numFmtId="3" fontId="0" fillId="0" borderId="12" xfId="0" applyNumberFormat="1" applyBorder="1"/>
    <xf numFmtId="3" fontId="0" fillId="0" borderId="13" xfId="0" applyNumberFormat="1" applyBorder="1"/>
    <xf numFmtId="3" fontId="0" fillId="0" borderId="11" xfId="0" applyNumberFormat="1" applyBorder="1"/>
    <xf numFmtId="0" fontId="0" fillId="0" borderId="0" xfId="0" applyAlignment="1">
      <alignment horizontal="right" vertical="center"/>
    </xf>
    <xf numFmtId="10" fontId="6" fillId="0" borderId="0" xfId="0" applyNumberFormat="1" applyFont="1" applyAlignment="1">
      <alignment vertical="center"/>
    </xf>
    <xf numFmtId="10" fontId="6" fillId="0" borderId="10" xfId="0" applyNumberFormat="1" applyFont="1" applyBorder="1" applyAlignment="1">
      <alignment vertical="center"/>
    </xf>
    <xf numFmtId="10" fontId="6" fillId="0" borderId="0" xfId="0" applyNumberFormat="1" applyFont="1"/>
    <xf numFmtId="10" fontId="6" fillId="0" borderId="12" xfId="0" applyNumberFormat="1" applyFont="1" applyBorder="1"/>
    <xf numFmtId="2" fontId="6" fillId="0" borderId="21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2" fontId="6" fillId="0" borderId="17" xfId="0" applyNumberFormat="1" applyFont="1" applyBorder="1" applyAlignment="1">
      <alignment vertical="center"/>
    </xf>
    <xf numFmtId="3" fontId="0" fillId="2" borderId="12" xfId="0" applyNumberFormat="1" applyFill="1" applyBorder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textRotation="90"/>
    </xf>
    <xf numFmtId="0" fontId="0" fillId="0" borderId="18" xfId="0" applyBorder="1" applyAlignment="1">
      <alignment horizontal="center" textRotation="90"/>
    </xf>
    <xf numFmtId="0" fontId="0" fillId="0" borderId="19" xfId="0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15" fillId="0" borderId="18" xfId="0" applyFont="1" applyBorder="1" applyAlignment="1">
      <alignment horizontal="center" textRotation="90"/>
    </xf>
    <xf numFmtId="0" fontId="15" fillId="0" borderId="19" xfId="0" applyFont="1" applyBorder="1" applyAlignment="1">
      <alignment horizontal="center" textRotation="90"/>
    </xf>
    <xf numFmtId="0" fontId="1" fillId="0" borderId="14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1D061-E438-4065-8D33-C6A841969866}">
  <dimension ref="A1:X108"/>
  <sheetViews>
    <sheetView topLeftCell="I1" zoomScaleNormal="100" workbookViewId="0">
      <selection activeCell="R35" sqref="R35"/>
    </sheetView>
  </sheetViews>
  <sheetFormatPr defaultColWidth="11.54296875" defaultRowHeight="14.5" x14ac:dyDescent="0.35"/>
  <cols>
    <col min="1" max="1" width="58.453125" customWidth="1"/>
    <col min="7" max="7" width="11.6328125" customWidth="1"/>
    <col min="9" max="9" width="40.08984375" customWidth="1"/>
    <col min="10" max="10" width="16.453125" customWidth="1"/>
    <col min="11" max="11" width="13.6328125" customWidth="1"/>
    <col min="12" max="12" width="15.81640625" customWidth="1"/>
    <col min="13" max="13" width="14.90625" customWidth="1"/>
    <col min="14" max="14" width="13.6328125" customWidth="1"/>
    <col min="15" max="15" width="13.90625" customWidth="1"/>
    <col min="16" max="16" width="13.453125" bestFit="1" customWidth="1"/>
    <col min="17" max="17" width="16.54296875" bestFit="1" customWidth="1"/>
  </cols>
  <sheetData>
    <row r="1" spans="1:22" ht="26" x14ac:dyDescent="0.6">
      <c r="A1" s="96" t="s">
        <v>0</v>
      </c>
      <c r="B1" s="96"/>
      <c r="C1" s="96"/>
      <c r="D1" s="96"/>
      <c r="E1" s="96"/>
      <c r="F1" s="96"/>
      <c r="G1" s="96"/>
      <c r="I1" s="96" t="s">
        <v>41</v>
      </c>
      <c r="J1" s="96"/>
      <c r="K1" s="96"/>
      <c r="L1" s="96"/>
      <c r="M1" s="96"/>
      <c r="N1" s="96"/>
      <c r="O1" s="96"/>
    </row>
    <row r="2" spans="1:22" s="8" customFormat="1" x14ac:dyDescent="0.35">
      <c r="A2" s="7"/>
      <c r="B2" s="7"/>
      <c r="C2" s="7"/>
      <c r="D2" s="7"/>
      <c r="E2" s="7"/>
      <c r="F2" s="7"/>
      <c r="G2" s="7"/>
      <c r="I2" s="7"/>
      <c r="J2" s="14"/>
      <c r="K2" s="14"/>
      <c r="L2" s="14"/>
      <c r="M2" s="14"/>
      <c r="N2" s="14"/>
      <c r="O2" s="14"/>
    </row>
    <row r="3" spans="1:22" s="8" customFormat="1" x14ac:dyDescent="0.35">
      <c r="A3" s="7"/>
      <c r="B3" s="7"/>
      <c r="C3" s="7"/>
      <c r="D3" s="7"/>
      <c r="E3" s="7"/>
      <c r="F3" s="7"/>
      <c r="G3" s="7"/>
      <c r="I3" s="7"/>
      <c r="J3" s="7"/>
      <c r="K3" s="7"/>
      <c r="L3" s="7"/>
      <c r="M3" s="7"/>
      <c r="N3" s="7"/>
      <c r="O3" s="7"/>
    </row>
    <row r="4" spans="1:22" s="8" customFormat="1" x14ac:dyDescent="0.35">
      <c r="A4" s="7"/>
      <c r="B4" s="7"/>
      <c r="C4" s="7"/>
      <c r="D4" s="7"/>
      <c r="E4" s="7"/>
      <c r="F4" s="7"/>
      <c r="G4" s="7"/>
      <c r="I4"/>
      <c r="J4" s="97" t="s">
        <v>42</v>
      </c>
      <c r="K4" s="97"/>
      <c r="L4" s="97"/>
      <c r="M4" s="97"/>
      <c r="N4" s="97"/>
      <c r="O4" s="97"/>
      <c r="P4" s="97" t="s">
        <v>46</v>
      </c>
      <c r="Q4" s="97"/>
      <c r="R4" s="97"/>
      <c r="S4" s="97"/>
      <c r="T4" s="97"/>
      <c r="U4" s="97" t="s">
        <v>47</v>
      </c>
      <c r="V4" s="97"/>
    </row>
    <row r="5" spans="1:22" x14ac:dyDescent="0.35">
      <c r="J5">
        <v>-5</v>
      </c>
      <c r="K5">
        <v>-4</v>
      </c>
      <c r="L5">
        <v>-3</v>
      </c>
      <c r="M5">
        <v>-2</v>
      </c>
      <c r="N5">
        <v>-1</v>
      </c>
      <c r="O5">
        <v>0</v>
      </c>
      <c r="P5">
        <v>1</v>
      </c>
      <c r="Q5">
        <v>2</v>
      </c>
      <c r="R5">
        <v>3</v>
      </c>
      <c r="S5">
        <v>4</v>
      </c>
      <c r="T5">
        <v>5</v>
      </c>
      <c r="U5">
        <v>6</v>
      </c>
      <c r="V5">
        <v>7</v>
      </c>
    </row>
    <row r="6" spans="1:22" x14ac:dyDescent="0.35">
      <c r="I6" s="10" t="s">
        <v>73</v>
      </c>
      <c r="J6" s="10">
        <v>56.3</v>
      </c>
      <c r="K6" s="10">
        <v>66</v>
      </c>
      <c r="L6" s="10">
        <v>62.6</v>
      </c>
      <c r="M6" s="10">
        <v>62</v>
      </c>
      <c r="N6" s="10">
        <v>61.1</v>
      </c>
      <c r="O6" s="10">
        <v>65.400000000000006</v>
      </c>
      <c r="P6" s="35">
        <f>P69</f>
        <v>67.62360000000001</v>
      </c>
      <c r="Q6" s="35">
        <f t="shared" ref="Q6:V6" si="0">Q69</f>
        <v>69.922802400000009</v>
      </c>
      <c r="R6" s="35">
        <f t="shared" si="0"/>
        <v>72.300177681600005</v>
      </c>
      <c r="S6" s="35">
        <f t="shared" si="0"/>
        <v>74.758383722774411</v>
      </c>
      <c r="T6" s="35">
        <f t="shared" si="0"/>
        <v>77.300168769348744</v>
      </c>
      <c r="U6" s="35">
        <f t="shared" si="0"/>
        <v>77.45476910688744</v>
      </c>
      <c r="V6" s="35">
        <f t="shared" si="0"/>
        <v>77.609678645101212</v>
      </c>
    </row>
    <row r="7" spans="1:22" x14ac:dyDescent="0.35">
      <c r="I7" s="10" t="s">
        <v>211</v>
      </c>
      <c r="J7" s="14">
        <v>0.19</v>
      </c>
      <c r="K7" s="14">
        <v>0.25</v>
      </c>
      <c r="L7" s="14">
        <v>0.27</v>
      </c>
      <c r="M7" s="14">
        <v>0.42</v>
      </c>
      <c r="N7" s="14">
        <v>0.41</v>
      </c>
      <c r="O7" s="14">
        <v>0.11</v>
      </c>
      <c r="P7" s="14">
        <v>0.5</v>
      </c>
      <c r="Q7" s="14">
        <v>0.38</v>
      </c>
      <c r="R7" s="14">
        <v>0.4</v>
      </c>
      <c r="S7" s="14">
        <v>0.4</v>
      </c>
      <c r="T7" s="14">
        <v>0.42</v>
      </c>
      <c r="U7" s="14">
        <v>0.4</v>
      </c>
      <c r="V7" s="14">
        <v>0.4</v>
      </c>
    </row>
    <row r="8" spans="1:22" x14ac:dyDescent="0.35">
      <c r="I8" s="14" t="s">
        <v>144</v>
      </c>
      <c r="J8" s="18">
        <v>191000000</v>
      </c>
      <c r="K8" s="18">
        <v>245000000</v>
      </c>
      <c r="L8" s="18">
        <v>273000000</v>
      </c>
      <c r="M8" s="18">
        <v>423000000</v>
      </c>
      <c r="N8" s="18">
        <v>407000000</v>
      </c>
      <c r="O8" s="18">
        <v>114000000</v>
      </c>
      <c r="P8" s="4">
        <f>P70</f>
        <v>500930000</v>
      </c>
      <c r="Q8" s="4">
        <f>Q70</f>
        <v>380000000</v>
      </c>
      <c r="R8" s="4">
        <f t="shared" ref="R8:V8" si="1">R70</f>
        <v>400000000</v>
      </c>
      <c r="S8" s="4">
        <f t="shared" si="1"/>
        <v>400000000</v>
      </c>
      <c r="T8" s="4">
        <f t="shared" si="1"/>
        <v>420000000</v>
      </c>
      <c r="U8" s="4">
        <f t="shared" si="1"/>
        <v>400000000</v>
      </c>
      <c r="V8" s="4">
        <f t="shared" si="1"/>
        <v>400000000</v>
      </c>
    </row>
    <row r="9" spans="1:22" x14ac:dyDescent="0.35">
      <c r="A9" s="2" t="s">
        <v>1</v>
      </c>
      <c r="B9" s="2">
        <v>2015</v>
      </c>
      <c r="C9" s="2">
        <v>2016</v>
      </c>
      <c r="D9" s="2">
        <v>2017</v>
      </c>
      <c r="E9" s="2">
        <v>2018</v>
      </c>
      <c r="F9" s="2">
        <v>2019</v>
      </c>
      <c r="G9" s="2">
        <v>2020</v>
      </c>
      <c r="I9" s="2" t="s">
        <v>1</v>
      </c>
      <c r="J9" s="2">
        <v>2015</v>
      </c>
      <c r="K9" s="2">
        <v>2016</v>
      </c>
      <c r="L9" s="2">
        <v>2017</v>
      </c>
      <c r="M9" s="2">
        <v>2018</v>
      </c>
      <c r="N9" s="2">
        <v>2019</v>
      </c>
      <c r="O9" s="2">
        <v>2020</v>
      </c>
      <c r="P9" s="2">
        <v>2021</v>
      </c>
      <c r="Q9" s="2">
        <v>2022</v>
      </c>
      <c r="R9" s="2">
        <v>2023</v>
      </c>
      <c r="S9" s="2">
        <v>2024</v>
      </c>
      <c r="T9" s="2">
        <v>2025</v>
      </c>
      <c r="U9" s="2">
        <v>2026</v>
      </c>
      <c r="V9" s="2">
        <v>2027</v>
      </c>
    </row>
    <row r="10" spans="1:22" x14ac:dyDescent="0.35">
      <c r="A10" t="s">
        <v>54</v>
      </c>
      <c r="B10" s="4">
        <v>51586</v>
      </c>
      <c r="C10" s="4">
        <v>49448</v>
      </c>
      <c r="D10" s="4">
        <v>62550</v>
      </c>
      <c r="E10" s="4">
        <v>55350</v>
      </c>
      <c r="F10" s="4">
        <v>43450</v>
      </c>
      <c r="G10" s="4">
        <v>33875</v>
      </c>
      <c r="I10" t="s">
        <v>65</v>
      </c>
      <c r="J10" s="4">
        <f t="shared" ref="J10:O10" si="2">B10</f>
        <v>51586</v>
      </c>
      <c r="K10" s="4">
        <f t="shared" si="2"/>
        <v>49448</v>
      </c>
      <c r="L10" s="4">
        <f t="shared" si="2"/>
        <v>62550</v>
      </c>
      <c r="M10" s="4">
        <f t="shared" si="2"/>
        <v>55350</v>
      </c>
      <c r="N10" s="4">
        <f t="shared" si="2"/>
        <v>43450</v>
      </c>
      <c r="O10" s="4">
        <f t="shared" si="2"/>
        <v>33875</v>
      </c>
      <c r="P10" s="4">
        <f>(P6*P8)*P73</f>
        <v>77911.786880400003</v>
      </c>
      <c r="Q10" s="4">
        <f>(Q6*Q8)*Q73</f>
        <v>61112.529297600006</v>
      </c>
      <c r="R10" s="4">
        <f t="shared" ref="R10:S10" si="3">(R6*R8)*R73</f>
        <v>66516.163467072009</v>
      </c>
      <c r="S10" s="4">
        <f t="shared" si="3"/>
        <v>68777.713024952463</v>
      </c>
      <c r="T10" s="4">
        <f>(T6*T8)*T73</f>
        <v>74671.963031190884</v>
      </c>
      <c r="U10" s="4">
        <f t="shared" ref="U10:V10" si="4">(U6*U8)*U73</f>
        <v>71258.387578336435</v>
      </c>
      <c r="V10" s="4">
        <f t="shared" si="4"/>
        <v>71400.904353493112</v>
      </c>
    </row>
    <row r="11" spans="1:22" x14ac:dyDescent="0.35">
      <c r="A11" t="s">
        <v>66</v>
      </c>
      <c r="B11" s="4">
        <v>0</v>
      </c>
      <c r="C11" s="4">
        <v>474</v>
      </c>
      <c r="D11" s="4">
        <v>-73</v>
      </c>
      <c r="E11" s="4">
        <v>0</v>
      </c>
      <c r="F11" s="4">
        <v>0</v>
      </c>
      <c r="G11" s="4">
        <v>0</v>
      </c>
      <c r="I11" s="15" t="s">
        <v>66</v>
      </c>
      <c r="J11" s="16">
        <f>B25</f>
        <v>683</v>
      </c>
      <c r="K11" s="16">
        <f>C11</f>
        <v>474</v>
      </c>
      <c r="L11" s="16">
        <f>D11</f>
        <v>-73</v>
      </c>
      <c r="M11" s="16">
        <f>E25</f>
        <v>790</v>
      </c>
      <c r="N11" s="16">
        <f>F25</f>
        <v>1249</v>
      </c>
      <c r="O11" s="16">
        <f>G25</f>
        <v>835</v>
      </c>
      <c r="P11" s="16">
        <f>P12-P10</f>
        <v>1186.4739118842699</v>
      </c>
      <c r="Q11" s="16">
        <f t="shared" ref="Q11:V11" si="5">Q12-Q10</f>
        <v>930.64765427817474</v>
      </c>
      <c r="R11" s="16">
        <f t="shared" si="5"/>
        <v>1012.9364994985663</v>
      </c>
      <c r="S11" s="16">
        <f t="shared" si="5"/>
        <v>1047.3763404815109</v>
      </c>
      <c r="T11" s="16">
        <f t="shared" si="5"/>
        <v>1137.13649286078</v>
      </c>
      <c r="U11" s="16">
        <f t="shared" si="5"/>
        <v>1085.1531103299931</v>
      </c>
      <c r="V11" s="16">
        <f t="shared" si="5"/>
        <v>1087.3234165506583</v>
      </c>
    </row>
    <row r="12" spans="1:22" x14ac:dyDescent="0.35">
      <c r="A12" t="s">
        <v>64</v>
      </c>
      <c r="B12" s="4">
        <v>0</v>
      </c>
      <c r="C12" s="4">
        <v>0</v>
      </c>
      <c r="D12" s="4">
        <v>0</v>
      </c>
      <c r="E12" s="4">
        <v>-1696</v>
      </c>
      <c r="F12" s="4">
        <v>3716</v>
      </c>
      <c r="G12" s="4">
        <v>3958</v>
      </c>
      <c r="I12" s="1" t="s">
        <v>81</v>
      </c>
      <c r="J12" s="5">
        <f t="shared" ref="J12:O12" si="6">SUM(J10:J11)</f>
        <v>52269</v>
      </c>
      <c r="K12" s="5">
        <f t="shared" si="6"/>
        <v>49922</v>
      </c>
      <c r="L12" s="5">
        <f t="shared" si="6"/>
        <v>62477</v>
      </c>
      <c r="M12" s="5">
        <f t="shared" si="6"/>
        <v>56140</v>
      </c>
      <c r="N12" s="5">
        <f t="shared" si="6"/>
        <v>44699</v>
      </c>
      <c r="O12" s="5">
        <f t="shared" si="6"/>
        <v>34710</v>
      </c>
      <c r="P12" s="5">
        <f>P10/P74</f>
        <v>79098.260792284273</v>
      </c>
      <c r="Q12" s="5">
        <f t="shared" ref="Q12:V12" si="7">Q10/Q74</f>
        <v>62043.17695187818</v>
      </c>
      <c r="R12" s="5">
        <f t="shared" si="7"/>
        <v>67529.099966570575</v>
      </c>
      <c r="S12" s="5">
        <f t="shared" si="7"/>
        <v>69825.089365433974</v>
      </c>
      <c r="T12" s="5">
        <f t="shared" si="7"/>
        <v>75809.099524051664</v>
      </c>
      <c r="U12" s="5">
        <f t="shared" si="7"/>
        <v>72343.540688666428</v>
      </c>
      <c r="V12" s="5">
        <f t="shared" si="7"/>
        <v>72488.22777004377</v>
      </c>
    </row>
    <row r="13" spans="1:22" x14ac:dyDescent="0.35">
      <c r="A13" s="6" t="s">
        <v>77</v>
      </c>
      <c r="B13" s="4">
        <v>1507</v>
      </c>
      <c r="C13" s="4">
        <v>1065</v>
      </c>
      <c r="D13" s="4">
        <v>6490</v>
      </c>
      <c r="E13" s="4">
        <v>2580</v>
      </c>
      <c r="F13" s="4">
        <v>767</v>
      </c>
      <c r="G13" s="4">
        <v>685</v>
      </c>
      <c r="I13" t="s">
        <v>58</v>
      </c>
      <c r="J13" s="4">
        <f t="shared" ref="J13:O14" si="8">B15</f>
        <v>-31892</v>
      </c>
      <c r="K13" s="4">
        <f t="shared" si="8"/>
        <v>-29093</v>
      </c>
      <c r="L13" s="4">
        <f t="shared" si="8"/>
        <v>-37546</v>
      </c>
      <c r="M13" s="4">
        <f t="shared" si="8"/>
        <v>-26808</v>
      </c>
      <c r="N13" s="4">
        <f t="shared" si="8"/>
        <v>-16483</v>
      </c>
      <c r="O13" s="4">
        <f t="shared" si="8"/>
        <v>-16060</v>
      </c>
      <c r="P13" s="4">
        <f>P10*P75</f>
        <v>-42851.482784220003</v>
      </c>
      <c r="Q13" s="4">
        <f t="shared" ref="Q13:V13" si="9">Q10*Q75</f>
        <v>-33611.891113680009</v>
      </c>
      <c r="R13" s="4">
        <f t="shared" si="9"/>
        <v>-36583.889906889606</v>
      </c>
      <c r="S13" s="4">
        <f t="shared" si="9"/>
        <v>-37827.742163723859</v>
      </c>
      <c r="T13" s="4">
        <f t="shared" si="9"/>
        <v>-41069.579667154991</v>
      </c>
      <c r="U13" s="4">
        <f t="shared" si="9"/>
        <v>-39192.113168085045</v>
      </c>
      <c r="V13" s="4">
        <f t="shared" si="9"/>
        <v>-39270.497394421218</v>
      </c>
    </row>
    <row r="14" spans="1:22" x14ac:dyDescent="0.35">
      <c r="A14" s="1" t="s">
        <v>2</v>
      </c>
      <c r="B14" s="5">
        <v>53094</v>
      </c>
      <c r="C14" s="5">
        <v>50987</v>
      </c>
      <c r="D14" s="5">
        <v>68968</v>
      </c>
      <c r="E14" s="5">
        <v>56233</v>
      </c>
      <c r="F14" s="5">
        <v>47933</v>
      </c>
      <c r="G14" s="5">
        <v>38518</v>
      </c>
      <c r="I14" s="15" t="s">
        <v>59</v>
      </c>
      <c r="J14" s="16">
        <f t="shared" si="8"/>
        <v>-1112</v>
      </c>
      <c r="K14" s="16">
        <f t="shared" si="8"/>
        <v>-1273</v>
      </c>
      <c r="L14" s="16">
        <f t="shared" si="8"/>
        <v>-1326</v>
      </c>
      <c r="M14" s="16">
        <f t="shared" si="8"/>
        <v>-1840</v>
      </c>
      <c r="N14" s="16">
        <f t="shared" si="8"/>
        <v>-2035</v>
      </c>
      <c r="O14" s="16">
        <f t="shared" si="8"/>
        <v>-1040</v>
      </c>
      <c r="P14" s="16">
        <f>P10*P76</f>
        <v>-2337.3536064119999</v>
      </c>
      <c r="Q14" s="16">
        <f t="shared" ref="Q14:V14" si="10">Q10*Q76</f>
        <v>-1833.375878928</v>
      </c>
      <c r="R14" s="16">
        <f t="shared" si="10"/>
        <v>-1995.4849040121601</v>
      </c>
      <c r="S14" s="16">
        <f t="shared" si="10"/>
        <v>-2063.331390748574</v>
      </c>
      <c r="T14" s="16">
        <f t="shared" si="10"/>
        <v>-2240.1588909357265</v>
      </c>
      <c r="U14" s="16">
        <f t="shared" si="10"/>
        <v>-2137.7516273500928</v>
      </c>
      <c r="V14" s="16">
        <f t="shared" si="10"/>
        <v>-2142.0271306047935</v>
      </c>
    </row>
    <row r="15" spans="1:22" x14ac:dyDescent="0.35">
      <c r="A15" t="s">
        <v>58</v>
      </c>
      <c r="B15" s="4">
        <v>-31892</v>
      </c>
      <c r="C15" s="4">
        <v>-29093</v>
      </c>
      <c r="D15" s="4">
        <v>-37546</v>
      </c>
      <c r="E15" s="4">
        <v>-26808</v>
      </c>
      <c r="F15" s="4">
        <v>-16483</v>
      </c>
      <c r="G15" s="4">
        <v>-16060</v>
      </c>
      <c r="I15" s="1" t="s">
        <v>82</v>
      </c>
      <c r="J15" s="5">
        <f>SUM(J12:J14)</f>
        <v>19265</v>
      </c>
      <c r="K15" s="5">
        <f t="shared" ref="K15:O15" si="11">SUM(K12:K14)</f>
        <v>19556</v>
      </c>
      <c r="L15" s="5">
        <f t="shared" si="11"/>
        <v>23605</v>
      </c>
      <c r="M15" s="5">
        <f t="shared" si="11"/>
        <v>27492</v>
      </c>
      <c r="N15" s="5">
        <f t="shared" si="11"/>
        <v>26181</v>
      </c>
      <c r="O15" s="5">
        <f t="shared" si="11"/>
        <v>17610</v>
      </c>
      <c r="P15" s="5">
        <f>P12+P13+P14</f>
        <v>33909.424401652272</v>
      </c>
      <c r="Q15" s="5">
        <f t="shared" ref="Q15:V15" si="12">Q12+Q13+Q14</f>
        <v>26597.909959270171</v>
      </c>
      <c r="R15" s="5">
        <f t="shared" si="12"/>
        <v>28949.72515566881</v>
      </c>
      <c r="S15" s="5">
        <f t="shared" si="12"/>
        <v>29934.01581096154</v>
      </c>
      <c r="T15" s="5">
        <f t="shared" si="12"/>
        <v>32499.360965960946</v>
      </c>
      <c r="U15" s="5">
        <f t="shared" si="12"/>
        <v>31013.675893231291</v>
      </c>
      <c r="V15" s="5">
        <f t="shared" si="12"/>
        <v>31075.703245017758</v>
      </c>
    </row>
    <row r="16" spans="1:22" x14ac:dyDescent="0.35">
      <c r="A16" t="s">
        <v>59</v>
      </c>
      <c r="B16" s="4">
        <v>-1112</v>
      </c>
      <c r="C16" s="4">
        <v>-1273</v>
      </c>
      <c r="D16" s="4">
        <v>-1326</v>
      </c>
      <c r="E16" s="4">
        <v>-1840</v>
      </c>
      <c r="F16" s="4">
        <v>-2035</v>
      </c>
      <c r="G16" s="4">
        <v>-1040</v>
      </c>
      <c r="I16" t="s">
        <v>57</v>
      </c>
      <c r="J16" s="4">
        <f t="shared" ref="J16:O16" si="13">B18</f>
        <v>-3545</v>
      </c>
      <c r="K16" s="4">
        <f t="shared" si="13"/>
        <v>-3648</v>
      </c>
      <c r="L16" s="4">
        <f t="shared" si="13"/>
        <v>-3707</v>
      </c>
      <c r="M16" s="4">
        <f t="shared" si="13"/>
        <v>-3615</v>
      </c>
      <c r="N16" s="4">
        <f t="shared" si="13"/>
        <v>-3971</v>
      </c>
      <c r="O16" s="4">
        <f t="shared" si="13"/>
        <v>-4627</v>
      </c>
      <c r="P16" s="4">
        <f>P6*P77</f>
        <v>-4057.4160000000006</v>
      </c>
      <c r="Q16" s="4">
        <f t="shared" ref="Q16:V16" si="14">Q6*Q77</f>
        <v>-4195.3681440000009</v>
      </c>
      <c r="R16" s="4">
        <f t="shared" si="14"/>
        <v>-4338.0106608960004</v>
      </c>
      <c r="S16" s="4">
        <f t="shared" si="14"/>
        <v>-4485.5030233664647</v>
      </c>
      <c r="T16" s="4">
        <f t="shared" si="14"/>
        <v>-4638.0101261609243</v>
      </c>
      <c r="U16" s="4">
        <f t="shared" si="14"/>
        <v>-4647.2861464132466</v>
      </c>
      <c r="V16" s="4">
        <f t="shared" si="14"/>
        <v>-4656.5807187060727</v>
      </c>
    </row>
    <row r="17" spans="1:24" x14ac:dyDescent="0.35">
      <c r="A17" s="1" t="s">
        <v>3</v>
      </c>
      <c r="B17" s="5">
        <v>20090</v>
      </c>
      <c r="C17" s="5">
        <v>20621</v>
      </c>
      <c r="D17" s="5">
        <v>30097</v>
      </c>
      <c r="E17" s="5">
        <v>27585</v>
      </c>
      <c r="F17" s="5">
        <v>29415</v>
      </c>
      <c r="G17" s="5">
        <v>21418</v>
      </c>
      <c r="I17" t="s">
        <v>61</v>
      </c>
      <c r="J17" s="4">
        <f t="shared" ref="J17:O18" si="15">B21</f>
        <v>-1679</v>
      </c>
      <c r="K17" s="4">
        <f t="shared" si="15"/>
        <v>-1733</v>
      </c>
      <c r="L17" s="4">
        <f t="shared" si="15"/>
        <v>-1341</v>
      </c>
      <c r="M17" s="4">
        <f t="shared" si="15"/>
        <v>-1352</v>
      </c>
      <c r="N17" s="4">
        <f t="shared" si="15"/>
        <v>-1139</v>
      </c>
      <c r="O17" s="4">
        <f t="shared" si="15"/>
        <v>-1264</v>
      </c>
      <c r="P17" s="4">
        <f>P6*P78</f>
        <v>-4057.4160000000006</v>
      </c>
      <c r="Q17" s="4">
        <f t="shared" ref="Q17:V17" si="16">Q6*Q78</f>
        <v>-4195.3681440000009</v>
      </c>
      <c r="R17" s="4">
        <f t="shared" si="16"/>
        <v>-4338.0106608960004</v>
      </c>
      <c r="S17" s="4">
        <f t="shared" si="16"/>
        <v>-4485.5030233664647</v>
      </c>
      <c r="T17" s="4">
        <f t="shared" si="16"/>
        <v>-4638.0101261609243</v>
      </c>
      <c r="U17" s="4">
        <f t="shared" si="16"/>
        <v>-4647.2861464132466</v>
      </c>
      <c r="V17" s="4">
        <f t="shared" si="16"/>
        <v>-4656.5807187060727</v>
      </c>
    </row>
    <row r="18" spans="1:24" x14ac:dyDescent="0.35">
      <c r="A18" t="s">
        <v>57</v>
      </c>
      <c r="B18" s="4">
        <v>-3545</v>
      </c>
      <c r="C18" s="4">
        <v>-3648</v>
      </c>
      <c r="D18" s="4">
        <v>-3707</v>
      </c>
      <c r="E18" s="4">
        <v>-3615</v>
      </c>
      <c r="F18" s="4">
        <v>-3971</v>
      </c>
      <c r="G18" s="4">
        <v>-4627</v>
      </c>
      <c r="I18" s="15" t="s">
        <v>55</v>
      </c>
      <c r="J18" s="16">
        <f t="shared" si="15"/>
        <v>-4651</v>
      </c>
      <c r="K18" s="16">
        <f t="shared" si="15"/>
        <v>-3894</v>
      </c>
      <c r="L18" s="16">
        <f t="shared" si="15"/>
        <v>-3846</v>
      </c>
      <c r="M18" s="16">
        <f t="shared" si="15"/>
        <v>-3439</v>
      </c>
      <c r="N18" s="16">
        <f t="shared" si="15"/>
        <v>-3638</v>
      </c>
      <c r="O18" s="16">
        <f t="shared" si="15"/>
        <v>-4334</v>
      </c>
      <c r="P18" s="16">
        <f>P19-(P15+P16+P17)</f>
        <v>-3647.0793798126724</v>
      </c>
      <c r="Q18" s="16">
        <f t="shared" ref="Q18:V18" si="17">Q19-(Q15+Q16+Q17)</f>
        <v>-835.08412474428042</v>
      </c>
      <c r="R18" s="16">
        <f t="shared" si="17"/>
        <v>-1365.5558432370453</v>
      </c>
      <c r="S18" s="16">
        <f t="shared" si="17"/>
        <v>-1411.9847419070938</v>
      </c>
      <c r="T18" s="16">
        <f t="shared" si="17"/>
        <v>-1996.792846904631</v>
      </c>
      <c r="U18" s="16">
        <f t="shared" si="17"/>
        <v>-1462.9122075781961</v>
      </c>
      <c r="V18" s="16">
        <f t="shared" si="17"/>
        <v>-1465.8380319933567</v>
      </c>
    </row>
    <row r="19" spans="1:24" x14ac:dyDescent="0.35">
      <c r="A19" t="s">
        <v>56</v>
      </c>
      <c r="B19" s="4">
        <v>-6401</v>
      </c>
      <c r="C19" s="4">
        <v>-8260</v>
      </c>
      <c r="D19" s="4">
        <v>-3662</v>
      </c>
      <c r="E19" s="4">
        <v>-3567</v>
      </c>
      <c r="F19" s="4">
        <v>-3824</v>
      </c>
      <c r="G19" s="4">
        <v>-4066</v>
      </c>
      <c r="I19" s="1" t="s">
        <v>83</v>
      </c>
      <c r="J19" s="5">
        <f>SUM(J15:J18)</f>
        <v>9390</v>
      </c>
      <c r="K19" s="5">
        <f t="shared" ref="K19:O19" si="18">SUM(K15:K18)</f>
        <v>10281</v>
      </c>
      <c r="L19" s="5">
        <f t="shared" si="18"/>
        <v>14711</v>
      </c>
      <c r="M19" s="5">
        <f t="shared" si="18"/>
        <v>19086</v>
      </c>
      <c r="N19" s="5">
        <f t="shared" si="18"/>
        <v>17433</v>
      </c>
      <c r="O19" s="5">
        <f t="shared" si="18"/>
        <v>7385</v>
      </c>
      <c r="P19" s="5">
        <f>P12*P79</f>
        <v>22147.513021839597</v>
      </c>
      <c r="Q19" s="5">
        <f t="shared" ref="Q19:V19" si="19">Q12*Q79</f>
        <v>17372.089546525891</v>
      </c>
      <c r="R19" s="5">
        <f t="shared" si="19"/>
        <v>18908.147990639762</v>
      </c>
      <c r="S19" s="5">
        <f t="shared" si="19"/>
        <v>19551.025022321515</v>
      </c>
      <c r="T19" s="5">
        <f t="shared" si="19"/>
        <v>21226.547866734469</v>
      </c>
      <c r="U19" s="5">
        <f t="shared" si="19"/>
        <v>20256.1913928266</v>
      </c>
      <c r="V19" s="5">
        <f t="shared" si="19"/>
        <v>20296.703775612259</v>
      </c>
    </row>
    <row r="20" spans="1:24" x14ac:dyDescent="0.35">
      <c r="A20" t="s">
        <v>60</v>
      </c>
      <c r="B20" s="4">
        <v>0</v>
      </c>
      <c r="C20" s="4">
        <v>0</v>
      </c>
      <c r="D20" s="4">
        <v>-500</v>
      </c>
      <c r="E20" s="4">
        <v>-167</v>
      </c>
      <c r="F20" s="4">
        <v>136</v>
      </c>
      <c r="G20" s="4">
        <v>-1379</v>
      </c>
      <c r="I20" t="s">
        <v>56</v>
      </c>
      <c r="J20" s="4">
        <f t="shared" ref="J20:O21" si="20">B19</f>
        <v>-6401</v>
      </c>
      <c r="K20" s="4">
        <f t="shared" si="20"/>
        <v>-8260</v>
      </c>
      <c r="L20" s="4">
        <f t="shared" si="20"/>
        <v>-3662</v>
      </c>
      <c r="M20" s="4">
        <f t="shared" si="20"/>
        <v>-3567</v>
      </c>
      <c r="N20" s="4">
        <f t="shared" si="20"/>
        <v>-3824</v>
      </c>
      <c r="O20" s="4">
        <f t="shared" si="20"/>
        <v>-4066</v>
      </c>
      <c r="P20" s="4">
        <f>P80*(Balance!AE10+Balance!AE11)</f>
        <v>-5808.5</v>
      </c>
      <c r="Q20" s="4">
        <f>Q80*(Balance!AF10+Balance!AF11)</f>
        <v>-6135.8378948476793</v>
      </c>
      <c r="R20" s="4">
        <f>R80*(Balance!AG10+Balance!AG11)</f>
        <v>-6118.9732986090676</v>
      </c>
      <c r="S20" s="4">
        <f>S80*(Balance!AH10+Balance!AH11)</f>
        <v>-6236.8082680471625</v>
      </c>
      <c r="T20" s="4">
        <f>T80*(Balance!AI10+Balance!AI11)</f>
        <v>-6347.9660850894043</v>
      </c>
      <c r="U20" s="4">
        <f>U80*(Balance!AJ10+Balance!AJ11)</f>
        <v>-6505.5276047358602</v>
      </c>
      <c r="V20" s="4">
        <f>V80*(Balance!AK10+Balance!AK11)</f>
        <v>-6520.948147631515</v>
      </c>
    </row>
    <row r="21" spans="1:24" x14ac:dyDescent="0.35">
      <c r="A21" t="s">
        <v>61</v>
      </c>
      <c r="B21" s="4">
        <v>-1679</v>
      </c>
      <c r="C21" s="4">
        <v>-1733</v>
      </c>
      <c r="D21" s="4">
        <v>-1341</v>
      </c>
      <c r="E21" s="4">
        <v>-1352</v>
      </c>
      <c r="F21" s="4">
        <v>-1139</v>
      </c>
      <c r="G21" s="4">
        <v>-1264</v>
      </c>
      <c r="I21" s="15" t="s">
        <v>60</v>
      </c>
      <c r="J21" s="16">
        <f t="shared" si="20"/>
        <v>0</v>
      </c>
      <c r="K21" s="16">
        <f t="shared" si="20"/>
        <v>0</v>
      </c>
      <c r="L21" s="16">
        <f t="shared" si="20"/>
        <v>-500</v>
      </c>
      <c r="M21" s="16">
        <f t="shared" si="20"/>
        <v>-167</v>
      </c>
      <c r="N21" s="16">
        <f t="shared" si="20"/>
        <v>136</v>
      </c>
      <c r="O21" s="16">
        <f t="shared" si="20"/>
        <v>-1379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</row>
    <row r="22" spans="1:24" x14ac:dyDescent="0.35">
      <c r="A22" t="s">
        <v>55</v>
      </c>
      <c r="B22" s="4">
        <v>-4651</v>
      </c>
      <c r="C22" s="4">
        <v>-3894</v>
      </c>
      <c r="D22" s="4">
        <v>-3846</v>
      </c>
      <c r="E22" s="4">
        <v>-3439</v>
      </c>
      <c r="F22" s="4">
        <v>-3638</v>
      </c>
      <c r="G22" s="4">
        <v>-4334</v>
      </c>
      <c r="I22" s="1" t="s">
        <v>84</v>
      </c>
      <c r="J22" s="5">
        <f>SUM(J19:J21)</f>
        <v>2989</v>
      </c>
      <c r="K22" s="5">
        <f t="shared" ref="K22:O22" si="21">SUM(K19:K21)</f>
        <v>2021</v>
      </c>
      <c r="L22" s="5">
        <f t="shared" si="21"/>
        <v>10549</v>
      </c>
      <c r="M22" s="5">
        <f t="shared" si="21"/>
        <v>15352</v>
      </c>
      <c r="N22" s="5">
        <f t="shared" si="21"/>
        <v>13745</v>
      </c>
      <c r="O22" s="5">
        <f t="shared" si="21"/>
        <v>1940</v>
      </c>
      <c r="P22" s="5">
        <f>P19+P20+P21</f>
        <v>16339.013021839597</v>
      </c>
      <c r="Q22" s="5">
        <f t="shared" ref="Q22:V22" si="22">Q19+Q20+Q21</f>
        <v>11236.251651678213</v>
      </c>
      <c r="R22" s="5">
        <f t="shared" si="22"/>
        <v>12789.174692030694</v>
      </c>
      <c r="S22" s="5">
        <f t="shared" si="22"/>
        <v>13314.216754274352</v>
      </c>
      <c r="T22" s="5">
        <f t="shared" si="22"/>
        <v>14878.581781645065</v>
      </c>
      <c r="U22" s="5">
        <f t="shared" si="22"/>
        <v>13750.66378809074</v>
      </c>
      <c r="V22" s="5">
        <f t="shared" si="22"/>
        <v>13775.755627980743</v>
      </c>
    </row>
    <row r="23" spans="1:24" x14ac:dyDescent="0.35">
      <c r="A23" s="1" t="s">
        <v>25</v>
      </c>
      <c r="B23" s="5">
        <v>-16276</v>
      </c>
      <c r="C23" s="5">
        <v>-17535</v>
      </c>
      <c r="D23" s="5">
        <v>-13056</v>
      </c>
      <c r="E23" s="5">
        <v>-12139</v>
      </c>
      <c r="F23" s="5">
        <v>-12438</v>
      </c>
      <c r="G23" s="5">
        <v>-15669</v>
      </c>
      <c r="I23" t="s">
        <v>43</v>
      </c>
      <c r="J23" s="4">
        <f t="shared" ref="J23:O23" si="23">B30</f>
        <v>-1548</v>
      </c>
      <c r="K23" s="4">
        <f t="shared" si="23"/>
        <v>-5402</v>
      </c>
      <c r="L23" s="4">
        <f t="shared" si="23"/>
        <v>-3961</v>
      </c>
      <c r="M23" s="4">
        <f t="shared" si="23"/>
        <v>-7258</v>
      </c>
      <c r="N23" s="4">
        <f t="shared" si="23"/>
        <v>-7632</v>
      </c>
      <c r="O23" s="4">
        <f t="shared" si="23"/>
        <v>-1421</v>
      </c>
      <c r="P23" s="13">
        <f>P24+P25+P26</f>
        <v>-6080.4422349928136</v>
      </c>
      <c r="Q23" s="13">
        <f>Q26-Q25-Q24</f>
        <v>-4720.2304889478864</v>
      </c>
      <c r="R23" s="13">
        <f t="shared" ref="R23:V23" si="24">R26-R25-R24</f>
        <v>-5353.3915309398635</v>
      </c>
      <c r="S23" s="13">
        <f t="shared" si="24"/>
        <v>-5568.1228054567509</v>
      </c>
      <c r="T23" s="13">
        <f t="shared" si="24"/>
        <v>-6208.2445904784163</v>
      </c>
      <c r="U23" s="13">
        <f t="shared" si="24"/>
        <v>-5751.5747237831993</v>
      </c>
      <c r="V23" s="13">
        <f t="shared" si="24"/>
        <v>-5760.0020727761421</v>
      </c>
      <c r="X23" s="13"/>
    </row>
    <row r="24" spans="1:24" x14ac:dyDescent="0.35">
      <c r="A24" s="1" t="s">
        <v>24</v>
      </c>
      <c r="B24" s="5">
        <v>3814</v>
      </c>
      <c r="C24" s="5">
        <v>3086</v>
      </c>
      <c r="D24" s="5">
        <v>17041</v>
      </c>
      <c r="E24" s="5">
        <v>15446</v>
      </c>
      <c r="F24" s="5">
        <v>16978</v>
      </c>
      <c r="G24" s="5">
        <v>5749</v>
      </c>
      <c r="I24" s="12" t="s">
        <v>44</v>
      </c>
      <c r="J24" s="12">
        <f>-(J32)</f>
        <v>-1436.13</v>
      </c>
      <c r="K24" s="12">
        <f t="shared" ref="K24:O24" si="25">-(K32)</f>
        <v>534.25</v>
      </c>
      <c r="L24" s="12">
        <f t="shared" si="25"/>
        <v>-323.52</v>
      </c>
      <c r="M24" s="12">
        <f t="shared" si="25"/>
        <v>624.68000000000006</v>
      </c>
      <c r="N24" s="12">
        <f t="shared" si="25"/>
        <v>978.56000000000006</v>
      </c>
      <c r="O24" s="12">
        <f t="shared" si="25"/>
        <v>511.94</v>
      </c>
      <c r="P24" s="41">
        <f>-P32</f>
        <v>455.16297374302542</v>
      </c>
      <c r="Q24" s="41">
        <f>-Q32</f>
        <v>225.72982827660178</v>
      </c>
      <c r="R24" s="41">
        <f t="shared" ref="R24:V24" si="26">-R32</f>
        <v>237.72165412758528</v>
      </c>
      <c r="S24" s="41">
        <f t="shared" si="26"/>
        <v>242.43610374700941</v>
      </c>
      <c r="T24" s="41">
        <f t="shared" si="26"/>
        <v>256.81187782039001</v>
      </c>
      <c r="U24" s="41">
        <f t="shared" si="26"/>
        <v>251.3092085469022</v>
      </c>
      <c r="V24" s="41">
        <f t="shared" si="26"/>
        <v>249.6998215838444</v>
      </c>
      <c r="X24" s="13"/>
    </row>
    <row r="25" spans="1:24" x14ac:dyDescent="0.35">
      <c r="A25" t="s">
        <v>68</v>
      </c>
      <c r="B25" s="4">
        <v>683</v>
      </c>
      <c r="C25" s="4">
        <v>0</v>
      </c>
      <c r="D25" s="4">
        <v>0</v>
      </c>
      <c r="E25" s="4">
        <v>790</v>
      </c>
      <c r="F25" s="4">
        <v>1249</v>
      </c>
      <c r="G25" s="4">
        <v>835</v>
      </c>
      <c r="I25" s="17" t="s">
        <v>78</v>
      </c>
      <c r="J25" s="15">
        <f>0.27*B13</f>
        <v>406.89000000000004</v>
      </c>
      <c r="K25" s="15">
        <f>0.25*C13</f>
        <v>266.25</v>
      </c>
      <c r="L25" s="15">
        <f>0.24*D13</f>
        <v>1557.6</v>
      </c>
      <c r="M25" s="15">
        <f>0.23*E13</f>
        <v>593.4</v>
      </c>
      <c r="N25" s="15">
        <f>0.22*F13</f>
        <v>168.74</v>
      </c>
      <c r="O25" s="15">
        <f>0.22*G13</f>
        <v>150.69999999999999</v>
      </c>
      <c r="P25" s="42">
        <f>(P34/78)*100*0.22</f>
        <v>0</v>
      </c>
      <c r="Q25" s="42">
        <f t="shared" ref="Q25:V25" si="27">(Q34/78)*100*0.22</f>
        <v>0</v>
      </c>
      <c r="R25" s="42">
        <f t="shared" si="27"/>
        <v>0</v>
      </c>
      <c r="S25" s="42">
        <f t="shared" si="27"/>
        <v>0</v>
      </c>
      <c r="T25" s="42">
        <f t="shared" si="27"/>
        <v>0</v>
      </c>
      <c r="U25" s="42">
        <f t="shared" si="27"/>
        <v>0</v>
      </c>
      <c r="V25" s="42">
        <f t="shared" si="27"/>
        <v>0</v>
      </c>
      <c r="X25" s="13"/>
    </row>
    <row r="26" spans="1:24" x14ac:dyDescent="0.35">
      <c r="A26" t="s">
        <v>63</v>
      </c>
      <c r="B26" s="4">
        <v>-3445</v>
      </c>
      <c r="C26" s="4">
        <v>2847</v>
      </c>
      <c r="D26" s="4">
        <v>-2079</v>
      </c>
      <c r="E26" s="4">
        <v>-464</v>
      </c>
      <c r="F26" s="4">
        <v>132</v>
      </c>
      <c r="G26" s="4">
        <v>-1520</v>
      </c>
      <c r="I26" s="39" t="s">
        <v>79</v>
      </c>
      <c r="J26" s="40">
        <f>SUM(J23:J25)</f>
        <v>-2577.2400000000002</v>
      </c>
      <c r="K26" s="40">
        <f t="shared" ref="K26:O26" si="28">SUM(K23:K25)</f>
        <v>-4601.5</v>
      </c>
      <c r="L26" s="40">
        <f t="shared" si="28"/>
        <v>-2726.9200000000005</v>
      </c>
      <c r="M26" s="40">
        <f t="shared" si="28"/>
        <v>-6039.92</v>
      </c>
      <c r="N26" s="40">
        <f t="shared" si="28"/>
        <v>-6484.7</v>
      </c>
      <c r="O26" s="40">
        <f t="shared" si="28"/>
        <v>-758.3599999999999</v>
      </c>
      <c r="P26" s="40">
        <f>P22*P82</f>
        <v>-6535.6052087358394</v>
      </c>
      <c r="Q26" s="40">
        <f t="shared" ref="Q26:U26" si="29">Q22*Q82</f>
        <v>-4494.500660671285</v>
      </c>
      <c r="R26" s="40">
        <f t="shared" si="29"/>
        <v>-5115.6698768122778</v>
      </c>
      <c r="S26" s="40">
        <f t="shared" si="29"/>
        <v>-5325.6867017097411</v>
      </c>
      <c r="T26" s="40">
        <f t="shared" si="29"/>
        <v>-5951.4327126580265</v>
      </c>
      <c r="U26" s="40">
        <f t="shared" si="29"/>
        <v>-5500.2655152362968</v>
      </c>
      <c r="V26" s="40">
        <f t="shared" ref="V26" si="30">V22*V82</f>
        <v>-5510.3022511922973</v>
      </c>
      <c r="X26" s="5"/>
    </row>
    <row r="27" spans="1:24" x14ac:dyDescent="0.35">
      <c r="A27" t="s">
        <v>67</v>
      </c>
      <c r="B27" s="4">
        <v>-1874</v>
      </c>
      <c r="C27" s="4">
        <v>-710</v>
      </c>
      <c r="D27" s="4">
        <v>731</v>
      </c>
      <c r="E27" s="4">
        <v>4876</v>
      </c>
      <c r="F27" s="4">
        <v>600</v>
      </c>
      <c r="G27" s="4">
        <v>-111</v>
      </c>
      <c r="I27" s="1" t="s">
        <v>85</v>
      </c>
      <c r="J27" s="5">
        <f>J22+J26</f>
        <v>411.75999999999976</v>
      </c>
      <c r="K27" s="5">
        <f t="shared" ref="K27:O27" si="31">K22+K26</f>
        <v>-2580.5</v>
      </c>
      <c r="L27" s="5">
        <f t="shared" si="31"/>
        <v>7822.08</v>
      </c>
      <c r="M27" s="5">
        <f t="shared" si="31"/>
        <v>9312.08</v>
      </c>
      <c r="N27" s="5">
        <f t="shared" si="31"/>
        <v>7260.3</v>
      </c>
      <c r="O27" s="5">
        <f t="shared" si="31"/>
        <v>1181.6400000000001</v>
      </c>
      <c r="P27" s="5">
        <f>P22+P26</f>
        <v>9803.4078131037568</v>
      </c>
      <c r="Q27" s="5">
        <f t="shared" ref="Q27:V27" si="32">Q22+Q26</f>
        <v>6741.7509910069275</v>
      </c>
      <c r="R27" s="5">
        <f t="shared" si="32"/>
        <v>7673.5048152184163</v>
      </c>
      <c r="S27" s="5">
        <f t="shared" si="32"/>
        <v>7988.5300525646107</v>
      </c>
      <c r="T27" s="5">
        <f t="shared" si="32"/>
        <v>8927.1490689870388</v>
      </c>
      <c r="U27" s="5">
        <f t="shared" si="32"/>
        <v>8250.3982728544433</v>
      </c>
      <c r="V27" s="5">
        <f t="shared" si="32"/>
        <v>8265.4533767884459</v>
      </c>
      <c r="W27" s="5"/>
    </row>
    <row r="28" spans="1:24" x14ac:dyDescent="0.35">
      <c r="A28" s="1" t="s">
        <v>4</v>
      </c>
      <c r="B28" s="5">
        <v>-5318</v>
      </c>
      <c r="C28" s="5">
        <v>2137</v>
      </c>
      <c r="D28" s="5">
        <v>-1347</v>
      </c>
      <c r="E28" s="5">
        <v>4412</v>
      </c>
      <c r="F28" s="5">
        <v>733</v>
      </c>
      <c r="G28" s="5">
        <v>-1631</v>
      </c>
      <c r="I28" t="s">
        <v>64</v>
      </c>
      <c r="J28" s="4">
        <v>0</v>
      </c>
      <c r="K28" s="4">
        <v>0</v>
      </c>
      <c r="L28" s="4">
        <v>0</v>
      </c>
      <c r="M28" s="4">
        <f>E12</f>
        <v>-1696</v>
      </c>
      <c r="N28" s="4">
        <f>F12</f>
        <v>3716</v>
      </c>
      <c r="O28" s="4">
        <f>G12</f>
        <v>3958</v>
      </c>
      <c r="P28" s="13">
        <f>P12*P85</f>
        <v>2372.947823768528</v>
      </c>
      <c r="Q28" s="13">
        <f t="shared" ref="Q28:V28" si="33">Q12*Q85</f>
        <v>1861.2953085563454</v>
      </c>
      <c r="R28" s="13">
        <f t="shared" si="33"/>
        <v>2025.8729989971171</v>
      </c>
      <c r="S28" s="13">
        <f t="shared" si="33"/>
        <v>2094.752680963019</v>
      </c>
      <c r="T28" s="13">
        <f t="shared" si="33"/>
        <v>2274.27298572155</v>
      </c>
      <c r="U28" s="13">
        <f t="shared" si="33"/>
        <v>2170.306220659993</v>
      </c>
      <c r="V28" s="13">
        <f t="shared" si="33"/>
        <v>2174.646833101313</v>
      </c>
    </row>
    <row r="29" spans="1:24" x14ac:dyDescent="0.35">
      <c r="A29" s="1" t="s">
        <v>5</v>
      </c>
      <c r="B29" s="5">
        <v>-821</v>
      </c>
      <c r="C29" s="5">
        <v>5223</v>
      </c>
      <c r="D29" s="5">
        <v>15693</v>
      </c>
      <c r="E29" s="5">
        <v>20649</v>
      </c>
      <c r="F29" s="5">
        <v>18959</v>
      </c>
      <c r="G29" s="5">
        <f>G24+G25+G28</f>
        <v>4953</v>
      </c>
      <c r="I29" t="s">
        <v>63</v>
      </c>
      <c r="J29" s="4">
        <f t="shared" ref="J29:O30" si="34">B26</f>
        <v>-3445</v>
      </c>
      <c r="K29" s="4">
        <f t="shared" si="34"/>
        <v>2847</v>
      </c>
      <c r="L29" s="4">
        <f t="shared" si="34"/>
        <v>-2079</v>
      </c>
      <c r="M29" s="4">
        <f t="shared" si="34"/>
        <v>-464</v>
      </c>
      <c r="N29" s="4">
        <f t="shared" si="34"/>
        <v>132</v>
      </c>
      <c r="O29" s="4">
        <f t="shared" si="34"/>
        <v>-1520</v>
      </c>
      <c r="P29" s="4">
        <f>P12*P86</f>
        <v>-1581.9652158456854</v>
      </c>
      <c r="Q29" s="4">
        <f t="shared" ref="Q29:V29" si="35">Q12*Q86</f>
        <v>-1240.8635390375637</v>
      </c>
      <c r="R29" s="4">
        <f t="shared" si="35"/>
        <v>-1350.5819993314115</v>
      </c>
      <c r="S29" s="4">
        <f t="shared" si="35"/>
        <v>-1396.5017873086795</v>
      </c>
      <c r="T29" s="4">
        <f t="shared" si="35"/>
        <v>-1516.1819904810334</v>
      </c>
      <c r="U29" s="4">
        <f t="shared" si="35"/>
        <v>-1446.8708137733286</v>
      </c>
      <c r="V29" s="4">
        <f t="shared" si="35"/>
        <v>-1449.7645554008755</v>
      </c>
    </row>
    <row r="30" spans="1:24" x14ac:dyDescent="0.35">
      <c r="A30" t="s">
        <v>62</v>
      </c>
      <c r="B30" s="4">
        <v>-1548</v>
      </c>
      <c r="C30" s="4">
        <v>-5402</v>
      </c>
      <c r="D30" s="4">
        <v>-3961</v>
      </c>
      <c r="E30" s="4">
        <v>-7258</v>
      </c>
      <c r="F30" s="5">
        <v>-7632</v>
      </c>
      <c r="G30" s="4">
        <v>-1421</v>
      </c>
      <c r="I30" s="15" t="s">
        <v>67</v>
      </c>
      <c r="J30" s="16">
        <f t="shared" si="34"/>
        <v>-1874</v>
      </c>
      <c r="K30" s="16">
        <f t="shared" si="34"/>
        <v>-710</v>
      </c>
      <c r="L30" s="16">
        <f t="shared" si="34"/>
        <v>731</v>
      </c>
      <c r="M30" s="16">
        <f t="shared" si="34"/>
        <v>4876</v>
      </c>
      <c r="N30" s="16">
        <f t="shared" si="34"/>
        <v>600</v>
      </c>
      <c r="O30" s="16">
        <f t="shared" si="34"/>
        <v>-111</v>
      </c>
      <c r="P30" s="16">
        <f>P87*Balance!AE42</f>
        <v>1277.94</v>
      </c>
      <c r="Q30" s="16">
        <f>Q87*Balance!AF42</f>
        <v>405.61290446577186</v>
      </c>
      <c r="R30" s="16">
        <f>R87*Balance!AG42</f>
        <v>405.26197364150022</v>
      </c>
      <c r="S30" s="16">
        <f>S87*Balance!AH42</f>
        <v>403.7313961047941</v>
      </c>
      <c r="T30" s="16">
        <f>T87*Balance!AI42</f>
        <v>409.23572212489262</v>
      </c>
      <c r="U30" s="16">
        <f>U87*Balance!AJ42</f>
        <v>418.87917741743644</v>
      </c>
      <c r="V30" s="16">
        <f>V87*Balance!AK42</f>
        <v>410.11691131703702</v>
      </c>
    </row>
    <row r="31" spans="1:24" x14ac:dyDescent="0.35">
      <c r="A31" s="1" t="s">
        <v>6</v>
      </c>
      <c r="B31" s="5">
        <v>-2369</v>
      </c>
      <c r="C31" s="5">
        <v>-179</v>
      </c>
      <c r="D31" s="5">
        <v>11732</v>
      </c>
      <c r="E31" s="5">
        <v>13390</v>
      </c>
      <c r="F31" s="5">
        <v>11327</v>
      </c>
      <c r="G31" s="5">
        <v>3532</v>
      </c>
      <c r="I31" s="1" t="s">
        <v>69</v>
      </c>
      <c r="J31" s="5">
        <f t="shared" ref="J31:O31" si="36">SUM(J28:J30)</f>
        <v>-5319</v>
      </c>
      <c r="K31" s="5">
        <f t="shared" si="36"/>
        <v>2137</v>
      </c>
      <c r="L31" s="5">
        <f t="shared" si="36"/>
        <v>-1348</v>
      </c>
      <c r="M31" s="5">
        <f t="shared" si="36"/>
        <v>2716</v>
      </c>
      <c r="N31" s="5">
        <f t="shared" si="36"/>
        <v>4448</v>
      </c>
      <c r="O31" s="5">
        <f t="shared" si="36"/>
        <v>2327</v>
      </c>
      <c r="P31" s="5">
        <f>P28+P29+P30</f>
        <v>2068.9226079228429</v>
      </c>
      <c r="Q31" s="5">
        <f t="shared" ref="Q31:V31" si="37">Q28+Q29+Q30</f>
        <v>1026.0446739845536</v>
      </c>
      <c r="R31" s="5">
        <f t="shared" si="37"/>
        <v>1080.5529733072058</v>
      </c>
      <c r="S31" s="5">
        <f t="shared" si="37"/>
        <v>1101.9822897591337</v>
      </c>
      <c r="T31" s="5">
        <f t="shared" si="37"/>
        <v>1167.3267173654092</v>
      </c>
      <c r="U31" s="5">
        <f t="shared" si="37"/>
        <v>1142.3145843041009</v>
      </c>
      <c r="V31" s="5">
        <f t="shared" si="37"/>
        <v>1134.9991890174745</v>
      </c>
    </row>
    <row r="32" spans="1:24" x14ac:dyDescent="0.35">
      <c r="B32" s="4"/>
      <c r="C32" s="4"/>
      <c r="D32" s="4"/>
      <c r="E32" s="4"/>
      <c r="F32" s="4"/>
      <c r="G32" s="4"/>
      <c r="I32" s="17" t="s">
        <v>70</v>
      </c>
      <c r="J32" s="17">
        <f>0.27*-(J31)</f>
        <v>1436.13</v>
      </c>
      <c r="K32" s="17">
        <f>0.25*-(K31)</f>
        <v>-534.25</v>
      </c>
      <c r="L32" s="17">
        <f>0.24*-(L31)</f>
        <v>323.52</v>
      </c>
      <c r="M32" s="17">
        <f>0.23*-(M31)</f>
        <v>-624.68000000000006</v>
      </c>
      <c r="N32" s="17">
        <f t="shared" ref="N32:O32" si="38">0.22*-(N31)</f>
        <v>-978.56000000000006</v>
      </c>
      <c r="O32" s="17">
        <f t="shared" si="38"/>
        <v>-511.94</v>
      </c>
      <c r="P32" s="42">
        <f>P83*-(P31)</f>
        <v>-455.16297374302542</v>
      </c>
      <c r="Q32" s="42">
        <f t="shared" ref="Q32:V32" si="39">Q83*-(Q31)</f>
        <v>-225.72982827660178</v>
      </c>
      <c r="R32" s="42">
        <f t="shared" si="39"/>
        <v>-237.72165412758528</v>
      </c>
      <c r="S32" s="42">
        <f t="shared" si="39"/>
        <v>-242.43610374700941</v>
      </c>
      <c r="T32" s="42">
        <f t="shared" si="39"/>
        <v>-256.81187782039001</v>
      </c>
      <c r="U32" s="42">
        <f t="shared" si="39"/>
        <v>-251.3092085469022</v>
      </c>
      <c r="V32" s="42">
        <f t="shared" si="39"/>
        <v>-249.6998215838444</v>
      </c>
    </row>
    <row r="33" spans="1:22" x14ac:dyDescent="0.35">
      <c r="A33" t="s">
        <v>7</v>
      </c>
      <c r="B33" s="4">
        <v>-598</v>
      </c>
      <c r="C33" s="4">
        <v>-62</v>
      </c>
      <c r="D33" s="4">
        <v>-94</v>
      </c>
      <c r="E33" s="4">
        <v>680</v>
      </c>
      <c r="F33" s="4">
        <v>417</v>
      </c>
      <c r="G33" s="4">
        <v>213</v>
      </c>
      <c r="I33" s="1" t="s">
        <v>91</v>
      </c>
      <c r="J33" s="5">
        <f>J27+J31+J32</f>
        <v>-3471.1099999999997</v>
      </c>
      <c r="K33" s="5">
        <f t="shared" ref="K33:L33" si="40">K27+K31+K32</f>
        <v>-977.75</v>
      </c>
      <c r="L33" s="5">
        <f t="shared" si="40"/>
        <v>6797.6</v>
      </c>
      <c r="M33" s="5">
        <f t="shared" ref="M33" si="41">M27+M31+M32</f>
        <v>11403.4</v>
      </c>
      <c r="N33" s="5">
        <f t="shared" ref="N33" si="42">N27+N31+N32</f>
        <v>10729.74</v>
      </c>
      <c r="O33" s="5">
        <f t="shared" ref="O33" si="43">O27+O31+O32</f>
        <v>2996.7000000000003</v>
      </c>
      <c r="P33" s="5">
        <f>P27+P31+P32</f>
        <v>11417.167447283575</v>
      </c>
      <c r="Q33" s="5">
        <f t="shared" ref="Q33:V33" si="44">Q27+Q31+Q32</f>
        <v>7542.0658367148799</v>
      </c>
      <c r="R33" s="5">
        <f t="shared" si="44"/>
        <v>8516.3361343980378</v>
      </c>
      <c r="S33" s="5">
        <f t="shared" si="44"/>
        <v>8848.0762385767339</v>
      </c>
      <c r="T33" s="5">
        <f t="shared" si="44"/>
        <v>9837.6639085320585</v>
      </c>
      <c r="U33" s="5">
        <f t="shared" si="44"/>
        <v>9141.403648611642</v>
      </c>
      <c r="V33" s="5">
        <f t="shared" si="44"/>
        <v>9150.7527442220762</v>
      </c>
    </row>
    <row r="34" spans="1:22" x14ac:dyDescent="0.35">
      <c r="A34" t="s">
        <v>8</v>
      </c>
      <c r="B34" s="4">
        <v>-1772</v>
      </c>
      <c r="C34" s="4">
        <v>-117</v>
      </c>
      <c r="D34" s="4">
        <v>11826</v>
      </c>
      <c r="E34" s="4">
        <v>12710</v>
      </c>
      <c r="F34" s="4">
        <v>10910</v>
      </c>
      <c r="G34" s="4">
        <v>3319</v>
      </c>
      <c r="I34" s="15" t="s">
        <v>92</v>
      </c>
      <c r="J34" s="16">
        <f t="shared" ref="J34:O34" si="45">B13-J25</f>
        <v>1100.1099999999999</v>
      </c>
      <c r="K34" s="16">
        <f t="shared" si="45"/>
        <v>798.75</v>
      </c>
      <c r="L34" s="16">
        <f t="shared" si="45"/>
        <v>4932.3999999999996</v>
      </c>
      <c r="M34" s="16">
        <f t="shared" si="45"/>
        <v>1986.6</v>
      </c>
      <c r="N34" s="16">
        <f t="shared" si="45"/>
        <v>598.26</v>
      </c>
      <c r="O34" s="16">
        <f t="shared" si="45"/>
        <v>534.29999999999995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</row>
    <row r="35" spans="1:22" x14ac:dyDescent="0.35">
      <c r="B35" s="4"/>
      <c r="C35" s="4"/>
      <c r="D35" s="4"/>
      <c r="E35" s="4"/>
      <c r="F35" s="4"/>
      <c r="G35" s="4"/>
      <c r="I35" s="1" t="s">
        <v>80</v>
      </c>
      <c r="J35" s="5">
        <f>SUM(J33:J34)</f>
        <v>-2371</v>
      </c>
      <c r="K35" s="5">
        <f t="shared" ref="K35:O35" si="46">SUM(K33:K34)</f>
        <v>-179</v>
      </c>
      <c r="L35" s="5">
        <f t="shared" si="46"/>
        <v>11730</v>
      </c>
      <c r="M35" s="5">
        <f t="shared" si="46"/>
        <v>13390</v>
      </c>
      <c r="N35" s="5">
        <f t="shared" si="46"/>
        <v>11328</v>
      </c>
      <c r="O35" s="5">
        <f t="shared" si="46"/>
        <v>3531</v>
      </c>
      <c r="P35" s="5">
        <f>P33+P34</f>
        <v>11417.167447283575</v>
      </c>
      <c r="Q35" s="5">
        <f t="shared" ref="Q35:V35" si="47">Q33+Q34</f>
        <v>7542.0658367148799</v>
      </c>
      <c r="R35" s="5">
        <f t="shared" si="47"/>
        <v>8516.3361343980378</v>
      </c>
      <c r="S35" s="5">
        <f t="shared" si="47"/>
        <v>8848.0762385767339</v>
      </c>
      <c r="T35" s="5">
        <f t="shared" si="47"/>
        <v>9837.6639085320585</v>
      </c>
      <c r="U35" s="5">
        <f t="shared" si="47"/>
        <v>9141.403648611642</v>
      </c>
      <c r="V35" s="5">
        <f t="shared" si="47"/>
        <v>9150.7527442220762</v>
      </c>
    </row>
    <row r="36" spans="1:22" x14ac:dyDescent="0.35">
      <c r="A36" s="10" t="s">
        <v>93</v>
      </c>
      <c r="B36" s="19">
        <v>0.27</v>
      </c>
      <c r="C36" s="19">
        <v>0.25</v>
      </c>
      <c r="D36" s="19">
        <v>0.24</v>
      </c>
      <c r="E36" s="19">
        <v>0.23</v>
      </c>
      <c r="F36" s="19">
        <v>0.22</v>
      </c>
      <c r="G36" s="19">
        <v>0.22</v>
      </c>
      <c r="I36" s="1"/>
      <c r="J36" s="5"/>
      <c r="K36" s="5"/>
      <c r="L36" s="5"/>
      <c r="M36" s="5"/>
      <c r="N36" s="5"/>
      <c r="O36" s="5"/>
    </row>
    <row r="37" spans="1:22" x14ac:dyDescent="0.35">
      <c r="A37" s="10" t="s">
        <v>76</v>
      </c>
      <c r="B37" s="11">
        <f>B30/B29</f>
        <v>1.8855054811205847</v>
      </c>
      <c r="C37" s="11">
        <f>C30/C29</f>
        <v>-1.0342714914799924</v>
      </c>
      <c r="D37" s="11">
        <f>D30/D29</f>
        <v>-0.25240553112852865</v>
      </c>
      <c r="E37" s="11">
        <f t="shared" ref="E37:F37" si="48">E30/E29</f>
        <v>-0.35149401908082717</v>
      </c>
      <c r="F37" s="11">
        <f t="shared" si="48"/>
        <v>-0.40255287726145894</v>
      </c>
      <c r="G37" s="11">
        <f>G30/G29</f>
        <v>-0.28689683020391682</v>
      </c>
    </row>
    <row r="38" spans="1:22" x14ac:dyDescent="0.35">
      <c r="A38" s="3" t="s">
        <v>9</v>
      </c>
      <c r="B38" s="4"/>
      <c r="C38" s="4"/>
      <c r="D38" s="4"/>
      <c r="E38" s="4"/>
      <c r="F38" s="4"/>
      <c r="G38" s="4"/>
      <c r="I38" s="3" t="s">
        <v>9</v>
      </c>
      <c r="J38" s="4"/>
      <c r="K38" s="4"/>
      <c r="L38" s="4"/>
      <c r="M38" s="4"/>
      <c r="N38" s="4"/>
      <c r="O38" s="4"/>
    </row>
    <row r="39" spans="1:22" x14ac:dyDescent="0.35">
      <c r="A39" s="1" t="s">
        <v>10</v>
      </c>
      <c r="B39" s="4"/>
      <c r="C39" s="4"/>
      <c r="D39" s="4"/>
      <c r="E39" s="4"/>
      <c r="F39" s="4"/>
      <c r="G39" s="4"/>
      <c r="I39" s="1" t="s">
        <v>10</v>
      </c>
      <c r="J39" s="4"/>
      <c r="K39" s="4"/>
      <c r="L39" s="4"/>
      <c r="M39" s="4"/>
      <c r="N39" s="4"/>
      <c r="O39" s="4"/>
    </row>
    <row r="40" spans="1:22" x14ac:dyDescent="0.35">
      <c r="A40" t="s">
        <v>11</v>
      </c>
      <c r="B40" s="4"/>
      <c r="C40" s="4"/>
      <c r="D40" s="4">
        <v>0</v>
      </c>
      <c r="E40" s="4">
        <v>8</v>
      </c>
      <c r="F40" s="4">
        <v>-16</v>
      </c>
      <c r="G40" s="4">
        <v>0</v>
      </c>
      <c r="I40" t="s">
        <v>11</v>
      </c>
      <c r="J40" s="4"/>
      <c r="K40" s="4"/>
      <c r="L40" s="4">
        <v>0</v>
      </c>
      <c r="M40" s="4">
        <v>8</v>
      </c>
      <c r="N40" s="4">
        <v>-16</v>
      </c>
      <c r="O40" s="4">
        <v>0</v>
      </c>
    </row>
    <row r="41" spans="1:22" x14ac:dyDescent="0.35">
      <c r="A41" t="s">
        <v>37</v>
      </c>
      <c r="B41" s="4">
        <v>-937</v>
      </c>
      <c r="C41" s="4">
        <v>1235</v>
      </c>
      <c r="D41" s="4">
        <v>-200</v>
      </c>
      <c r="E41" s="4"/>
      <c r="F41" s="4"/>
      <c r="G41" s="4"/>
      <c r="I41" t="s">
        <v>37</v>
      </c>
      <c r="J41" s="4">
        <v>-937</v>
      </c>
      <c r="K41" s="4">
        <v>1235</v>
      </c>
      <c r="L41" s="4">
        <v>-200</v>
      </c>
      <c r="M41" s="4"/>
      <c r="N41" s="4"/>
      <c r="O41" s="4"/>
    </row>
    <row r="42" spans="1:22" x14ac:dyDescent="0.35">
      <c r="A42" t="s">
        <v>38</v>
      </c>
      <c r="B42" s="4">
        <v>142</v>
      </c>
      <c r="C42" s="4">
        <v>-320</v>
      </c>
      <c r="D42" s="4">
        <v>42</v>
      </c>
      <c r="E42" s="4"/>
      <c r="F42" s="4"/>
      <c r="G42" s="4"/>
      <c r="I42" t="s">
        <v>38</v>
      </c>
      <c r="J42" s="4">
        <v>142</v>
      </c>
      <c r="K42" s="4">
        <v>-320</v>
      </c>
      <c r="L42" s="4">
        <v>42</v>
      </c>
      <c r="M42" s="4"/>
      <c r="N42" s="4"/>
      <c r="O42" s="4"/>
    </row>
    <row r="43" spans="1:22" x14ac:dyDescent="0.35">
      <c r="A43" t="s">
        <v>12</v>
      </c>
      <c r="B43" s="4">
        <v>204</v>
      </c>
      <c r="C43" s="4">
        <v>445</v>
      </c>
      <c r="D43" s="4">
        <v>-170</v>
      </c>
      <c r="E43" s="4">
        <v>-131</v>
      </c>
      <c r="F43" s="4">
        <v>-60</v>
      </c>
      <c r="G43" s="4">
        <v>-13</v>
      </c>
      <c r="I43" t="s">
        <v>12</v>
      </c>
      <c r="J43" s="4">
        <v>204</v>
      </c>
      <c r="K43" s="4">
        <v>445</v>
      </c>
      <c r="L43" s="4">
        <v>-170</v>
      </c>
      <c r="M43" s="4">
        <v>-131</v>
      </c>
      <c r="N43" s="4">
        <v>-60</v>
      </c>
      <c r="O43" s="4">
        <v>-13</v>
      </c>
    </row>
    <row r="44" spans="1:22" x14ac:dyDescent="0.35">
      <c r="A44" t="s">
        <v>13</v>
      </c>
      <c r="B44" s="4"/>
      <c r="C44" s="4">
        <v>0</v>
      </c>
      <c r="D44" s="4">
        <v>0</v>
      </c>
      <c r="E44" s="4">
        <v>0</v>
      </c>
      <c r="F44" s="4">
        <v>-6</v>
      </c>
      <c r="G44" s="4">
        <v>0</v>
      </c>
      <c r="I44" t="s">
        <v>13</v>
      </c>
      <c r="J44" s="4"/>
      <c r="K44" s="4">
        <v>0</v>
      </c>
      <c r="L44" s="4">
        <v>0</v>
      </c>
      <c r="M44" s="4">
        <v>0</v>
      </c>
      <c r="N44" s="4">
        <v>-6</v>
      </c>
      <c r="O44" s="4">
        <v>0</v>
      </c>
    </row>
    <row r="45" spans="1:22" x14ac:dyDescent="0.35">
      <c r="A45" t="s">
        <v>39</v>
      </c>
      <c r="B45" s="4"/>
      <c r="C45" s="4">
        <v>0</v>
      </c>
      <c r="D45" s="4">
        <v>1470</v>
      </c>
      <c r="E45" s="4"/>
      <c r="F45" s="4"/>
      <c r="G45" s="4"/>
      <c r="I45" t="s">
        <v>39</v>
      </c>
      <c r="J45" s="4"/>
      <c r="K45" s="4">
        <v>0</v>
      </c>
      <c r="L45" s="4">
        <v>1470</v>
      </c>
      <c r="M45" s="4"/>
      <c r="N45" s="4"/>
      <c r="O45" s="4"/>
    </row>
    <row r="46" spans="1:22" x14ac:dyDescent="0.35">
      <c r="A46" t="s">
        <v>40</v>
      </c>
      <c r="B46" s="4"/>
      <c r="C46" s="4">
        <v>0</v>
      </c>
      <c r="D46" s="4">
        <v>-355</v>
      </c>
      <c r="E46" s="4"/>
      <c r="F46" s="4"/>
      <c r="G46" s="4"/>
      <c r="I46" t="s">
        <v>40</v>
      </c>
      <c r="J46" s="4"/>
      <c r="K46" s="4">
        <v>0</v>
      </c>
      <c r="L46" s="4">
        <v>-355</v>
      </c>
      <c r="M46" s="4"/>
      <c r="N46" s="4"/>
      <c r="O46" s="4"/>
    </row>
    <row r="47" spans="1:22" x14ac:dyDescent="0.35">
      <c r="A47" t="s">
        <v>14</v>
      </c>
      <c r="B47" s="4">
        <v>772</v>
      </c>
      <c r="C47" s="4">
        <v>6</v>
      </c>
      <c r="D47" s="4">
        <v>-2491</v>
      </c>
      <c r="E47" s="4">
        <v>-54</v>
      </c>
      <c r="F47" s="4">
        <v>0</v>
      </c>
      <c r="G47" s="4">
        <v>-132</v>
      </c>
      <c r="I47" t="s">
        <v>14</v>
      </c>
      <c r="J47" s="4">
        <v>772</v>
      </c>
      <c r="K47" s="4">
        <v>6</v>
      </c>
      <c r="L47" s="4">
        <v>-2491</v>
      </c>
      <c r="M47" s="4">
        <v>-54</v>
      </c>
      <c r="N47" s="4">
        <v>0</v>
      </c>
      <c r="O47" s="4">
        <v>-132</v>
      </c>
    </row>
    <row r="48" spans="1:22" x14ac:dyDescent="0.35">
      <c r="A48" t="s">
        <v>15</v>
      </c>
      <c r="B48" s="4">
        <v>6138</v>
      </c>
      <c r="C48" s="4">
        <v>-4851</v>
      </c>
      <c r="D48" s="4">
        <v>667</v>
      </c>
      <c r="E48" s="4">
        <v>-316</v>
      </c>
      <c r="F48" s="4">
        <v>-475</v>
      </c>
      <c r="G48" s="4">
        <v>1092</v>
      </c>
      <c r="I48" t="s">
        <v>15</v>
      </c>
      <c r="J48" s="4">
        <v>6138</v>
      </c>
      <c r="K48" s="4">
        <v>-4851</v>
      </c>
      <c r="L48" s="4">
        <v>667</v>
      </c>
      <c r="M48" s="4">
        <v>-316</v>
      </c>
      <c r="N48" s="4">
        <v>-475</v>
      </c>
      <c r="O48" s="4">
        <v>1092</v>
      </c>
    </row>
    <row r="49" spans="1:22" x14ac:dyDescent="0.35">
      <c r="A49" s="1" t="s">
        <v>16</v>
      </c>
      <c r="B49" s="5">
        <v>6319</v>
      </c>
      <c r="C49" s="5">
        <v>-3485</v>
      </c>
      <c r="D49" s="5">
        <v>-1037</v>
      </c>
      <c r="E49" s="5">
        <v>-493</v>
      </c>
      <c r="F49" s="5">
        <v>-557</v>
      </c>
      <c r="G49" s="5">
        <v>947</v>
      </c>
      <c r="I49" s="1" t="s">
        <v>16</v>
      </c>
      <c r="J49" s="5">
        <v>6319</v>
      </c>
      <c r="K49" s="5">
        <v>-3485</v>
      </c>
      <c r="L49" s="5">
        <v>-1037</v>
      </c>
      <c r="M49" s="5">
        <v>-493</v>
      </c>
      <c r="N49" s="5">
        <v>-557</v>
      </c>
      <c r="O49" s="5">
        <v>947</v>
      </c>
    </row>
    <row r="50" spans="1:22" x14ac:dyDescent="0.35">
      <c r="B50" s="4"/>
      <c r="C50" s="4"/>
      <c r="D50" s="4"/>
      <c r="E50" s="4"/>
      <c r="F50" s="4"/>
      <c r="G50" s="4"/>
      <c r="J50" s="4"/>
      <c r="K50" s="4"/>
      <c r="L50" s="4"/>
      <c r="M50" s="4"/>
      <c r="N50" s="4"/>
      <c r="O50" s="4"/>
    </row>
    <row r="51" spans="1:22" x14ac:dyDescent="0.35">
      <c r="B51" s="4"/>
      <c r="C51" s="4"/>
      <c r="D51" s="4"/>
      <c r="E51" s="4"/>
      <c r="F51" s="4"/>
      <c r="G51" s="4"/>
      <c r="J51" s="4"/>
      <c r="K51" s="4"/>
      <c r="L51" s="4"/>
      <c r="M51" s="4"/>
      <c r="N51" s="4"/>
      <c r="O51" s="4"/>
    </row>
    <row r="52" spans="1:22" x14ac:dyDescent="0.35">
      <c r="B52" s="4"/>
      <c r="C52" s="4"/>
      <c r="D52" s="4"/>
      <c r="E52" s="4"/>
      <c r="F52" s="4"/>
      <c r="G52" s="4"/>
      <c r="J52" s="4"/>
      <c r="K52" s="4"/>
      <c r="L52" s="4"/>
      <c r="M52" s="4"/>
      <c r="N52" s="4"/>
      <c r="O52" s="4"/>
    </row>
    <row r="53" spans="1:22" x14ac:dyDescent="0.35">
      <c r="A53" s="1" t="s">
        <v>17</v>
      </c>
      <c r="B53" s="4"/>
      <c r="C53" s="4"/>
      <c r="D53" s="4"/>
      <c r="E53" s="4"/>
      <c r="F53" s="4"/>
      <c r="G53" s="4"/>
      <c r="I53" s="1" t="s">
        <v>17</v>
      </c>
      <c r="J53" s="4"/>
      <c r="K53" s="4"/>
      <c r="L53" s="4"/>
      <c r="M53" s="4"/>
      <c r="N53" s="4"/>
      <c r="O53" s="4"/>
    </row>
    <row r="54" spans="1:22" x14ac:dyDescent="0.35">
      <c r="A54" t="s">
        <v>18</v>
      </c>
      <c r="B54" s="4"/>
      <c r="C54" s="4">
        <v>0</v>
      </c>
      <c r="D54" s="4">
        <v>0</v>
      </c>
      <c r="E54" s="4">
        <v>-27</v>
      </c>
      <c r="F54" s="4">
        <v>17</v>
      </c>
      <c r="G54" s="4">
        <v>-4</v>
      </c>
      <c r="I54" t="s">
        <v>18</v>
      </c>
      <c r="J54" s="4"/>
      <c r="K54" s="4">
        <v>0</v>
      </c>
      <c r="L54" s="4">
        <v>0</v>
      </c>
      <c r="M54" s="4">
        <v>-27</v>
      </c>
      <c r="N54" s="4">
        <v>17</v>
      </c>
      <c r="O54" s="4">
        <v>-4</v>
      </c>
    </row>
    <row r="55" spans="1:22" x14ac:dyDescent="0.35">
      <c r="A55" t="s">
        <v>19</v>
      </c>
      <c r="B55" s="4" t="s">
        <v>53</v>
      </c>
      <c r="C55" s="4">
        <v>0</v>
      </c>
      <c r="D55" s="4">
        <v>0</v>
      </c>
      <c r="E55" s="4">
        <v>0</v>
      </c>
      <c r="F55" s="4">
        <v>76</v>
      </c>
      <c r="G55" s="4">
        <v>-14</v>
      </c>
      <c r="I55" t="s">
        <v>19</v>
      </c>
      <c r="J55" s="4" t="s">
        <v>53</v>
      </c>
      <c r="K55" s="4">
        <v>0</v>
      </c>
      <c r="L55" s="4">
        <v>0</v>
      </c>
      <c r="M55" s="4">
        <v>0</v>
      </c>
      <c r="N55" s="4">
        <v>76</v>
      </c>
      <c r="O55" s="4">
        <v>-14</v>
      </c>
    </row>
    <row r="56" spans="1:22" x14ac:dyDescent="0.35">
      <c r="A56" t="s">
        <v>20</v>
      </c>
      <c r="B56" s="4"/>
      <c r="C56" s="4">
        <v>-69</v>
      </c>
      <c r="D56" s="4">
        <v>-47</v>
      </c>
      <c r="E56" s="4">
        <v>-153</v>
      </c>
      <c r="F56" s="4">
        <v>88</v>
      </c>
      <c r="G56" s="4">
        <v>-475</v>
      </c>
      <c r="I56" t="s">
        <v>20</v>
      </c>
      <c r="J56" s="4"/>
      <c r="K56" s="4">
        <v>-69</v>
      </c>
      <c r="L56" s="4">
        <v>-47</v>
      </c>
      <c r="M56" s="4">
        <v>-153</v>
      </c>
      <c r="N56" s="4">
        <v>88</v>
      </c>
      <c r="O56" s="4">
        <v>-475</v>
      </c>
    </row>
    <row r="57" spans="1:22" x14ac:dyDescent="0.35">
      <c r="A57" s="1" t="s">
        <v>16</v>
      </c>
      <c r="B57" s="5"/>
      <c r="C57" s="5">
        <v>-69</v>
      </c>
      <c r="D57" s="5">
        <v>-47</v>
      </c>
      <c r="E57" s="5">
        <v>-180</v>
      </c>
      <c r="F57" s="5">
        <v>182</v>
      </c>
      <c r="G57" s="5">
        <v>-492</v>
      </c>
      <c r="I57" s="1" t="s">
        <v>16</v>
      </c>
      <c r="J57" s="5"/>
      <c r="K57" s="5">
        <v>-69</v>
      </c>
      <c r="L57" s="5">
        <v>-47</v>
      </c>
      <c r="M57" s="5">
        <v>-180</v>
      </c>
      <c r="N57" s="5">
        <v>182</v>
      </c>
      <c r="O57" s="5">
        <v>-492</v>
      </c>
    </row>
    <row r="58" spans="1:22" x14ac:dyDescent="0.35">
      <c r="B58" s="4"/>
      <c r="C58" s="4"/>
      <c r="D58" s="4"/>
      <c r="E58" s="4"/>
      <c r="F58" s="4"/>
      <c r="G58" s="4"/>
      <c r="J58" s="4"/>
      <c r="K58" s="4"/>
      <c r="L58" s="4"/>
      <c r="M58" s="4"/>
      <c r="N58" s="4"/>
      <c r="O58" s="4"/>
    </row>
    <row r="59" spans="1:22" x14ac:dyDescent="0.35">
      <c r="A59" t="s">
        <v>21</v>
      </c>
      <c r="B59" s="4">
        <v>6761</v>
      </c>
      <c r="C59" s="4">
        <v>-3554</v>
      </c>
      <c r="D59" s="4">
        <v>-1084</v>
      </c>
      <c r="E59" s="4">
        <v>-673</v>
      </c>
      <c r="F59" s="4">
        <f>F49+F57</f>
        <v>-375</v>
      </c>
      <c r="G59" s="4">
        <f>G49+G57+1</f>
        <v>456</v>
      </c>
      <c r="I59" t="s">
        <v>21</v>
      </c>
      <c r="J59" s="4">
        <v>6761</v>
      </c>
      <c r="K59" s="4">
        <v>-3554</v>
      </c>
      <c r="L59" s="4">
        <v>-1084</v>
      </c>
      <c r="M59" s="4">
        <v>-673</v>
      </c>
      <c r="N59" s="4">
        <f>N49+N57</f>
        <v>-375</v>
      </c>
      <c r="O59" s="4">
        <f>O49+O57+1</f>
        <v>456</v>
      </c>
    </row>
    <row r="60" spans="1:22" x14ac:dyDescent="0.35">
      <c r="B60" s="4"/>
      <c r="C60" s="4"/>
      <c r="D60" s="4"/>
      <c r="E60" s="4"/>
      <c r="F60" s="4"/>
      <c r="G60" s="4"/>
      <c r="J60" s="4"/>
      <c r="K60" s="4"/>
      <c r="L60" s="4"/>
      <c r="M60" s="4"/>
      <c r="N60" s="4"/>
      <c r="O60" s="4"/>
    </row>
    <row r="61" spans="1:22" x14ac:dyDescent="0.35">
      <c r="A61" s="1" t="s">
        <v>22</v>
      </c>
      <c r="B61" s="5">
        <v>4391</v>
      </c>
      <c r="C61" s="5">
        <v>-3733</v>
      </c>
      <c r="D61" s="5">
        <v>10648</v>
      </c>
      <c r="E61" s="5">
        <v>12717</v>
      </c>
      <c r="F61" s="5">
        <v>10952</v>
      </c>
      <c r="G61" s="5">
        <v>3988</v>
      </c>
      <c r="I61" s="1" t="s">
        <v>22</v>
      </c>
      <c r="J61" s="5">
        <v>4391</v>
      </c>
      <c r="K61" s="5">
        <v>-3733</v>
      </c>
      <c r="L61" s="5">
        <v>10648</v>
      </c>
      <c r="M61" s="5">
        <v>12717</v>
      </c>
      <c r="N61" s="5">
        <v>10952</v>
      </c>
      <c r="O61" s="5">
        <v>3988</v>
      </c>
    </row>
    <row r="62" spans="1:22" x14ac:dyDescent="0.35">
      <c r="B62" s="4"/>
      <c r="C62" s="4"/>
      <c r="D62" s="4"/>
      <c r="E62" s="4"/>
      <c r="F62" s="4"/>
      <c r="G62" s="4"/>
      <c r="J62" s="4"/>
      <c r="K62" s="4"/>
      <c r="L62" s="4"/>
      <c r="M62" s="4"/>
      <c r="N62" s="4"/>
      <c r="O62" s="4"/>
    </row>
    <row r="63" spans="1:22" x14ac:dyDescent="0.35">
      <c r="A63" t="s">
        <v>23</v>
      </c>
      <c r="B63" s="4">
        <v>-133</v>
      </c>
      <c r="C63" s="4">
        <v>217</v>
      </c>
      <c r="D63" s="4">
        <v>-465</v>
      </c>
      <c r="E63" s="4">
        <v>642</v>
      </c>
      <c r="F63" s="4">
        <v>474</v>
      </c>
      <c r="G63" s="4">
        <v>29</v>
      </c>
      <c r="I63" t="s">
        <v>23</v>
      </c>
      <c r="J63" s="4">
        <v>-133</v>
      </c>
      <c r="K63" s="4">
        <v>217</v>
      </c>
      <c r="L63" s="4">
        <v>-465</v>
      </c>
      <c r="M63" s="4">
        <v>642</v>
      </c>
      <c r="N63" s="4">
        <v>474</v>
      </c>
      <c r="O63" s="4">
        <v>29</v>
      </c>
      <c r="Q63" s="29"/>
      <c r="R63" s="29"/>
      <c r="S63" s="29"/>
      <c r="T63" s="29"/>
      <c r="U63" s="29"/>
      <c r="V63" s="29"/>
    </row>
    <row r="64" spans="1:22" x14ac:dyDescent="0.35">
      <c r="A64" t="s">
        <v>8</v>
      </c>
      <c r="B64" s="4">
        <v>4525</v>
      </c>
      <c r="C64" s="4">
        <v>-3950</v>
      </c>
      <c r="D64" s="4">
        <v>11113</v>
      </c>
      <c r="E64" s="4">
        <v>12075</v>
      </c>
      <c r="F64" s="4">
        <v>10478</v>
      </c>
      <c r="G64" s="4">
        <v>3959</v>
      </c>
      <c r="I64" t="s">
        <v>8</v>
      </c>
      <c r="J64" s="4">
        <v>4525</v>
      </c>
      <c r="K64" s="4">
        <v>-3950</v>
      </c>
      <c r="L64" s="4">
        <v>11113</v>
      </c>
      <c r="M64" s="4">
        <v>12075</v>
      </c>
      <c r="N64" s="4">
        <v>10478</v>
      </c>
      <c r="O64" s="4">
        <v>3959</v>
      </c>
    </row>
    <row r="67" spans="2:22" x14ac:dyDescent="0.35">
      <c r="J67" s="98" t="s">
        <v>42</v>
      </c>
      <c r="K67" s="99"/>
      <c r="L67" s="99"/>
      <c r="M67" s="99"/>
      <c r="N67" s="99"/>
      <c r="O67" s="100"/>
      <c r="P67" s="97" t="s">
        <v>46</v>
      </c>
      <c r="Q67" s="97"/>
      <c r="R67" s="97"/>
      <c r="S67" s="97"/>
      <c r="T67" s="97"/>
      <c r="U67" s="97" t="s">
        <v>47</v>
      </c>
      <c r="V67" s="97"/>
    </row>
    <row r="68" spans="2:22" ht="23.5" x14ac:dyDescent="0.55000000000000004">
      <c r="B68" s="4"/>
      <c r="I68" s="33" t="s">
        <v>139</v>
      </c>
      <c r="J68" s="37">
        <v>2015</v>
      </c>
      <c r="K68" s="37">
        <v>2016</v>
      </c>
      <c r="L68" s="37">
        <v>2017</v>
      </c>
      <c r="M68" s="37">
        <v>2018</v>
      </c>
      <c r="N68" s="37">
        <v>2019</v>
      </c>
      <c r="O68" s="37">
        <v>2020</v>
      </c>
      <c r="P68" s="37">
        <v>2021</v>
      </c>
      <c r="Q68" s="37">
        <v>2022</v>
      </c>
      <c r="R68" s="37">
        <v>2023</v>
      </c>
      <c r="S68" s="37">
        <v>2024</v>
      </c>
      <c r="T68" s="37">
        <v>2025</v>
      </c>
      <c r="U68" s="37">
        <v>2026</v>
      </c>
      <c r="V68">
        <v>2027</v>
      </c>
    </row>
    <row r="69" spans="2:22" x14ac:dyDescent="0.35">
      <c r="I69" s="10" t="s">
        <v>189</v>
      </c>
      <c r="J69" s="29">
        <v>56.3</v>
      </c>
      <c r="K69" s="29">
        <v>66</v>
      </c>
      <c r="L69" s="29">
        <v>62.6</v>
      </c>
      <c r="M69" s="29">
        <v>62</v>
      </c>
      <c r="N69" s="29">
        <v>61.1</v>
      </c>
      <c r="O69" s="29">
        <v>65.400000000000006</v>
      </c>
      <c r="P69">
        <f>O69*1.034</f>
        <v>67.62360000000001</v>
      </c>
      <c r="Q69">
        <f t="shared" ref="Q69:T69" si="49">P69*1.034</f>
        <v>69.922802400000009</v>
      </c>
      <c r="R69">
        <f t="shared" si="49"/>
        <v>72.300177681600005</v>
      </c>
      <c r="S69">
        <f t="shared" si="49"/>
        <v>74.758383722774411</v>
      </c>
      <c r="T69">
        <f t="shared" si="49"/>
        <v>77.300168769348744</v>
      </c>
      <c r="U69">
        <f>T69*1.002</f>
        <v>77.45476910688744</v>
      </c>
      <c r="V69">
        <f>U69*1.002</f>
        <v>77.609678645101212</v>
      </c>
    </row>
    <row r="70" spans="2:22" x14ac:dyDescent="0.35">
      <c r="I70" s="14" t="s">
        <v>188</v>
      </c>
      <c r="J70" s="18">
        <v>191000000</v>
      </c>
      <c r="K70" s="18">
        <v>245000000</v>
      </c>
      <c r="L70" s="18">
        <v>273000000</v>
      </c>
      <c r="M70" s="18">
        <v>423000000</v>
      </c>
      <c r="N70" s="18">
        <v>407000000</v>
      </c>
      <c r="O70" s="18">
        <v>114000000</v>
      </c>
      <c r="P70" s="18">
        <v>500930000</v>
      </c>
      <c r="Q70" s="18">
        <v>380000000</v>
      </c>
      <c r="R70" s="18">
        <v>400000000</v>
      </c>
      <c r="S70" s="18">
        <v>400000000</v>
      </c>
      <c r="T70" s="18">
        <v>420000000</v>
      </c>
      <c r="U70" s="18">
        <v>400000000</v>
      </c>
      <c r="V70" s="18">
        <v>400000000</v>
      </c>
    </row>
    <row r="71" spans="2:22" x14ac:dyDescent="0.35">
      <c r="I71" t="s">
        <v>140</v>
      </c>
      <c r="K71" s="9">
        <f>(K6-J6)/J6</f>
        <v>0.17229129662522208</v>
      </c>
      <c r="L71" s="9">
        <f>(L6-K6)/K6</f>
        <v>-5.1515151515151493E-2</v>
      </c>
      <c r="M71" s="9">
        <f>(M6-L6)/L6</f>
        <v>-9.5846645367412362E-3</v>
      </c>
      <c r="N71" s="9">
        <f>(N6-M6)/M6</f>
        <v>-1.4516129032258041E-2</v>
      </c>
      <c r="O71" s="9">
        <f>(O6-N6)/N6</f>
        <v>7.03764320785598E-2</v>
      </c>
      <c r="P71" s="9">
        <v>3.3399999999999999E-2</v>
      </c>
      <c r="Q71" s="9">
        <v>3.3399999999999999E-2</v>
      </c>
      <c r="R71" s="9">
        <v>3.3399999999999999E-2</v>
      </c>
      <c r="S71" s="9">
        <v>3.3399999999999999E-2</v>
      </c>
      <c r="T71" s="9">
        <v>3.3399999999999999E-2</v>
      </c>
      <c r="U71" s="27">
        <v>0.02</v>
      </c>
      <c r="V71" s="27">
        <v>0.02</v>
      </c>
    </row>
    <row r="72" spans="2:22" x14ac:dyDescent="0.35">
      <c r="I72" t="s">
        <v>141</v>
      </c>
      <c r="K72" s="9"/>
      <c r="L72" s="9"/>
      <c r="M72" s="9"/>
      <c r="N72" s="9"/>
      <c r="O72" s="9">
        <f>AVERAGE(K71:O71)</f>
        <v>3.341035672392622E-2</v>
      </c>
    </row>
    <row r="73" spans="2:22" x14ac:dyDescent="0.35">
      <c r="I73" t="s">
        <v>142</v>
      </c>
      <c r="J73" s="28">
        <f>J10/(J69*J70)</f>
        <v>4.797225037895344E-6</v>
      </c>
      <c r="K73" s="28">
        <f t="shared" ref="K73:O73" si="50">K10/(K69*K70)</f>
        <v>3.058008658008658E-6</v>
      </c>
      <c r="L73" s="30">
        <f t="shared" si="50"/>
        <v>3.6600779412281011E-6</v>
      </c>
      <c r="M73" s="30">
        <f t="shared" si="50"/>
        <v>2.1105010295126974E-6</v>
      </c>
      <c r="N73" s="30">
        <f t="shared" si="50"/>
        <v>1.7472464280974918E-6</v>
      </c>
      <c r="O73" s="28">
        <f t="shared" si="50"/>
        <v>4.5435645689146408E-6</v>
      </c>
      <c r="P73" s="28">
        <v>2.3E-6</v>
      </c>
      <c r="Q73" s="28">
        <v>2.3E-6</v>
      </c>
      <c r="R73" s="28">
        <v>2.3E-6</v>
      </c>
      <c r="S73" s="28">
        <v>2.3E-6</v>
      </c>
      <c r="T73" s="28">
        <v>2.3E-6</v>
      </c>
      <c r="U73" s="28">
        <v>2.3E-6</v>
      </c>
      <c r="V73" s="28">
        <v>2.3E-6</v>
      </c>
    </row>
    <row r="74" spans="2:22" x14ac:dyDescent="0.35">
      <c r="I74" t="s">
        <v>152</v>
      </c>
      <c r="J74" s="34">
        <f>J10/J12</f>
        <v>0.98693298130823237</v>
      </c>
      <c r="K74" s="34">
        <f t="shared" ref="K74:O74" si="51">K10/K12</f>
        <v>0.99050518809342569</v>
      </c>
      <c r="L74" s="34">
        <f t="shared" si="51"/>
        <v>1.0011684299822334</v>
      </c>
      <c r="M74" s="34">
        <f t="shared" si="51"/>
        <v>0.98592803705023158</v>
      </c>
      <c r="N74" s="34">
        <f t="shared" si="51"/>
        <v>0.97205754043714621</v>
      </c>
      <c r="O74" s="34">
        <f t="shared" si="51"/>
        <v>0.97594353212330742</v>
      </c>
      <c r="P74" s="34">
        <v>0.98499999999999999</v>
      </c>
      <c r="Q74" s="34">
        <v>0.98499999999999999</v>
      </c>
      <c r="R74" s="34">
        <v>0.98499999999999999</v>
      </c>
      <c r="S74" s="34">
        <v>0.98499999999999999</v>
      </c>
      <c r="T74" s="34">
        <v>0.98499999999999999</v>
      </c>
      <c r="U74" s="34">
        <v>0.98499999999999999</v>
      </c>
      <c r="V74" s="34">
        <v>0.98499999999999999</v>
      </c>
    </row>
    <row r="75" spans="2:22" x14ac:dyDescent="0.35">
      <c r="I75" t="s">
        <v>75</v>
      </c>
      <c r="J75" s="34">
        <f t="shared" ref="J75:O75" si="52">J13/J10</f>
        <v>-0.61822975225836463</v>
      </c>
      <c r="K75" s="34">
        <f t="shared" si="52"/>
        <v>-0.58835544410289597</v>
      </c>
      <c r="L75" s="34">
        <f t="shared" si="52"/>
        <v>-0.60025579536370899</v>
      </c>
      <c r="M75" s="34">
        <f t="shared" si="52"/>
        <v>-0.48433604336043362</v>
      </c>
      <c r="N75" s="34">
        <f t="shared" si="52"/>
        <v>-0.37935558112773304</v>
      </c>
      <c r="O75" s="34">
        <f t="shared" si="52"/>
        <v>-0.4740959409594096</v>
      </c>
      <c r="P75" s="34">
        <v>-0.55000000000000004</v>
      </c>
      <c r="Q75" s="34">
        <v>-0.55000000000000004</v>
      </c>
      <c r="R75" s="34">
        <v>-0.55000000000000004</v>
      </c>
      <c r="S75" s="34">
        <v>-0.55000000000000004</v>
      </c>
      <c r="T75" s="34">
        <v>-0.55000000000000004</v>
      </c>
      <c r="U75" s="34">
        <v>-0.55000000000000004</v>
      </c>
      <c r="V75" s="34">
        <v>-0.55000000000000004</v>
      </c>
    </row>
    <row r="76" spans="2:22" x14ac:dyDescent="0.35">
      <c r="I76" t="s">
        <v>145</v>
      </c>
      <c r="J76" s="34">
        <f t="shared" ref="J76:O76" si="53">J14/J10</f>
        <v>-2.1556236188113052E-2</v>
      </c>
      <c r="K76" s="34">
        <f t="shared" si="53"/>
        <v>-2.5744216146254651E-2</v>
      </c>
      <c r="L76" s="34">
        <f t="shared" si="53"/>
        <v>-2.1199040767386091E-2</v>
      </c>
      <c r="M76" s="34">
        <f t="shared" si="53"/>
        <v>-3.3242999096657636E-2</v>
      </c>
      <c r="N76" s="34">
        <f t="shared" si="53"/>
        <v>-4.6835443037974683E-2</v>
      </c>
      <c r="O76" s="34">
        <f t="shared" si="53"/>
        <v>-3.0701107011070112E-2</v>
      </c>
      <c r="P76" s="34">
        <v>-0.03</v>
      </c>
      <c r="Q76" s="34">
        <v>-0.03</v>
      </c>
      <c r="R76" s="34">
        <v>-0.03</v>
      </c>
      <c r="S76" s="34">
        <v>-0.03</v>
      </c>
      <c r="T76" s="34">
        <v>-0.03</v>
      </c>
      <c r="U76" s="34">
        <v>-0.03</v>
      </c>
      <c r="V76" s="34">
        <v>-0.03</v>
      </c>
    </row>
    <row r="77" spans="2:22" x14ac:dyDescent="0.35">
      <c r="I77" t="s">
        <v>171</v>
      </c>
      <c r="J77" s="34">
        <f>J16/J6</f>
        <v>-62.96625222024867</v>
      </c>
      <c r="K77" s="34">
        <f t="shared" ref="K77:O77" si="54">K16/K6</f>
        <v>-55.272727272727273</v>
      </c>
      <c r="L77" s="34">
        <f t="shared" si="54"/>
        <v>-59.217252396166131</v>
      </c>
      <c r="M77" s="34">
        <f t="shared" si="54"/>
        <v>-58.306451612903224</v>
      </c>
      <c r="N77" s="34">
        <f t="shared" si="54"/>
        <v>-64.991816693944358</v>
      </c>
      <c r="O77" s="34">
        <f t="shared" si="54"/>
        <v>-70.749235474006113</v>
      </c>
      <c r="P77" s="34">
        <v>-60</v>
      </c>
      <c r="Q77" s="34">
        <v>-60</v>
      </c>
      <c r="R77" s="34">
        <v>-60</v>
      </c>
      <c r="S77" s="34">
        <v>-60</v>
      </c>
      <c r="T77" s="34">
        <v>-60</v>
      </c>
      <c r="U77" s="34">
        <v>-60</v>
      </c>
      <c r="V77" s="34">
        <v>-60</v>
      </c>
    </row>
    <row r="78" spans="2:22" x14ac:dyDescent="0.35">
      <c r="I78" t="s">
        <v>74</v>
      </c>
      <c r="J78" s="34">
        <f t="shared" ref="J78:O78" si="55">J18/J6</f>
        <v>-82.611012433392546</v>
      </c>
      <c r="K78" s="34">
        <f t="shared" si="55"/>
        <v>-59</v>
      </c>
      <c r="L78" s="34">
        <f t="shared" si="55"/>
        <v>-61.43769968051118</v>
      </c>
      <c r="M78" s="34">
        <f t="shared" si="55"/>
        <v>-55.467741935483872</v>
      </c>
      <c r="N78" s="34">
        <f t="shared" si="55"/>
        <v>-59.541734860883793</v>
      </c>
      <c r="O78" s="34">
        <f t="shared" si="55"/>
        <v>-66.269113149847087</v>
      </c>
      <c r="P78" s="34">
        <v>-60</v>
      </c>
      <c r="Q78" s="34">
        <v>-60</v>
      </c>
      <c r="R78" s="34">
        <v>-60</v>
      </c>
      <c r="S78" s="34">
        <v>-60</v>
      </c>
      <c r="T78" s="34">
        <v>-60</v>
      </c>
      <c r="U78" s="34">
        <v>-60</v>
      </c>
      <c r="V78" s="34">
        <v>-60</v>
      </c>
    </row>
    <row r="79" spans="2:22" x14ac:dyDescent="0.35">
      <c r="I79" t="s">
        <v>153</v>
      </c>
      <c r="J79" s="34">
        <f t="shared" ref="J79:O79" si="56">J19/J12</f>
        <v>0.17964759226310051</v>
      </c>
      <c r="K79" s="34">
        <f t="shared" si="56"/>
        <v>0.20594126837867072</v>
      </c>
      <c r="L79" s="34">
        <f t="shared" si="56"/>
        <v>0.23546265025529395</v>
      </c>
      <c r="M79" s="34">
        <f t="shared" si="56"/>
        <v>0.33997149982187391</v>
      </c>
      <c r="N79" s="34">
        <f t="shared" si="56"/>
        <v>0.39000872502740552</v>
      </c>
      <c r="O79" s="34">
        <f t="shared" si="56"/>
        <v>0.21276289253817343</v>
      </c>
      <c r="P79" s="34">
        <v>0.28000000000000003</v>
      </c>
      <c r="Q79" s="34">
        <v>0.28000000000000003</v>
      </c>
      <c r="R79" s="34">
        <v>0.28000000000000003</v>
      </c>
      <c r="S79" s="34">
        <v>0.28000000000000003</v>
      </c>
      <c r="T79" s="34">
        <v>0.28000000000000003</v>
      </c>
      <c r="U79" s="34">
        <v>0.28000000000000003</v>
      </c>
      <c r="V79" s="34">
        <v>0.28000000000000003</v>
      </c>
    </row>
    <row r="80" spans="2:22" x14ac:dyDescent="0.35">
      <c r="I80" t="s">
        <v>182</v>
      </c>
      <c r="J80" s="34"/>
      <c r="K80" s="34">
        <f>(K20+K21)/(Balance!Z10+Balance!Z11)</f>
        <v>-7.0580796212904487E-2</v>
      </c>
      <c r="L80" s="34">
        <f>(L20+L21)/(Balance!AA10+Balance!AA11)</f>
        <v>-3.859564523906673E-2</v>
      </c>
      <c r="M80" s="34">
        <f>(M20+M21)/(Balance!AB10+Balance!AB11)</f>
        <v>-3.5059057705669167E-2</v>
      </c>
      <c r="N80" s="34">
        <f>(N20+N21)/(Balance!AC10+Balance!AC11)</f>
        <v>-3.3633370724011201E-2</v>
      </c>
      <c r="O80" s="34">
        <f>(O20+O21)/(Balance!AD10+Balance!AD11)</f>
        <v>-4.7560815827400967E-2</v>
      </c>
      <c r="P80" s="34">
        <v>-0.05</v>
      </c>
      <c r="Q80" s="34">
        <v>-0.05</v>
      </c>
      <c r="R80" s="34">
        <v>-0.05</v>
      </c>
      <c r="S80" s="34">
        <v>-0.05</v>
      </c>
      <c r="T80" s="34">
        <v>-0.05</v>
      </c>
      <c r="U80" s="34">
        <v>-0.05</v>
      </c>
      <c r="V80" s="34">
        <v>-0.05</v>
      </c>
    </row>
    <row r="81" spans="9:22" x14ac:dyDescent="0.35">
      <c r="I81" t="s">
        <v>190</v>
      </c>
      <c r="J81" s="34">
        <f t="shared" ref="J81:O81" si="57">J21</f>
        <v>0</v>
      </c>
      <c r="K81" s="34">
        <f t="shared" si="57"/>
        <v>0</v>
      </c>
      <c r="L81" s="34">
        <f t="shared" si="57"/>
        <v>-500</v>
      </c>
      <c r="M81" s="34">
        <f t="shared" si="57"/>
        <v>-167</v>
      </c>
      <c r="N81" s="34">
        <f t="shared" si="57"/>
        <v>136</v>
      </c>
      <c r="O81" s="34">
        <f t="shared" si="57"/>
        <v>-1379</v>
      </c>
      <c r="P81" s="34">
        <v>0</v>
      </c>
      <c r="Q81" s="34">
        <v>0</v>
      </c>
      <c r="R81" s="34">
        <v>0</v>
      </c>
      <c r="S81" s="34">
        <v>0</v>
      </c>
      <c r="T81" s="34">
        <v>0</v>
      </c>
      <c r="U81" s="34">
        <v>0</v>
      </c>
      <c r="V81" s="34">
        <v>0</v>
      </c>
    </row>
    <row r="82" spans="9:22" x14ac:dyDescent="0.35">
      <c r="I82" t="s">
        <v>155</v>
      </c>
      <c r="J82" s="34">
        <f t="shared" ref="J82:O82" si="58">J26/J22</f>
        <v>-0.86224155235864841</v>
      </c>
      <c r="K82" s="34">
        <f t="shared" si="58"/>
        <v>-2.2768431469569519</v>
      </c>
      <c r="L82" s="34">
        <f t="shared" si="58"/>
        <v>-0.25850033178500337</v>
      </c>
      <c r="M82" s="34">
        <f t="shared" si="58"/>
        <v>-0.39342886920270975</v>
      </c>
      <c r="N82" s="34">
        <f t="shared" si="58"/>
        <v>-0.47178610403783194</v>
      </c>
      <c r="O82" s="34">
        <f t="shared" si="58"/>
        <v>-0.39090721649484533</v>
      </c>
      <c r="P82" s="34">
        <v>-0.4</v>
      </c>
      <c r="Q82" s="34">
        <v>-0.4</v>
      </c>
      <c r="R82" s="34">
        <v>-0.4</v>
      </c>
      <c r="S82" s="34">
        <v>-0.4</v>
      </c>
      <c r="T82" s="34">
        <v>-0.4</v>
      </c>
      <c r="U82" s="34">
        <v>-0.4</v>
      </c>
      <c r="V82" s="34">
        <v>-0.4</v>
      </c>
    </row>
    <row r="83" spans="9:22" x14ac:dyDescent="0.35">
      <c r="I83" t="s">
        <v>154</v>
      </c>
      <c r="J83" s="38">
        <v>0.27</v>
      </c>
      <c r="K83" s="38">
        <v>0.25</v>
      </c>
      <c r="L83" s="38">
        <v>0.24</v>
      </c>
      <c r="M83" s="38">
        <v>0.23</v>
      </c>
      <c r="N83" s="38">
        <v>0.22</v>
      </c>
      <c r="O83" s="38">
        <v>0.22</v>
      </c>
      <c r="P83" s="34">
        <v>0.22</v>
      </c>
      <c r="Q83" s="34">
        <v>0.22</v>
      </c>
      <c r="R83" s="34">
        <v>0.22</v>
      </c>
      <c r="S83" s="34">
        <v>0.22</v>
      </c>
      <c r="T83" s="34">
        <v>0.22</v>
      </c>
      <c r="U83" s="34">
        <v>0.22</v>
      </c>
      <c r="V83" s="34">
        <v>0.22</v>
      </c>
    </row>
    <row r="84" spans="9:22" x14ac:dyDescent="0.35">
      <c r="I84" t="s">
        <v>210</v>
      </c>
      <c r="J84" s="34">
        <f t="shared" ref="J84:O84" si="59">J34/J12</f>
        <v>2.1047083357248079E-2</v>
      </c>
      <c r="K84" s="34">
        <f t="shared" si="59"/>
        <v>1.5999959937502504E-2</v>
      </c>
      <c r="L84" s="34">
        <f t="shared" si="59"/>
        <v>7.8947452662579826E-2</v>
      </c>
      <c r="M84" s="34">
        <f t="shared" si="59"/>
        <v>3.5386533665835412E-2</v>
      </c>
      <c r="N84" s="34">
        <f t="shared" si="59"/>
        <v>1.3384192040090382E-2</v>
      </c>
      <c r="O84" s="34">
        <f t="shared" si="59"/>
        <v>1.539325842696629E-2</v>
      </c>
      <c r="P84" s="34">
        <v>0</v>
      </c>
      <c r="Q84" s="34">
        <v>0</v>
      </c>
      <c r="R84" s="34">
        <v>0</v>
      </c>
      <c r="S84" s="34">
        <v>0</v>
      </c>
      <c r="T84" s="34">
        <v>0</v>
      </c>
      <c r="U84" s="34">
        <v>0</v>
      </c>
      <c r="V84" s="34">
        <v>0</v>
      </c>
    </row>
    <row r="85" spans="9:22" x14ac:dyDescent="0.35">
      <c r="I85" t="s">
        <v>169</v>
      </c>
      <c r="J85" s="34">
        <f t="shared" ref="J85:O85" si="60">J28/J12</f>
        <v>0</v>
      </c>
      <c r="K85" s="34">
        <f t="shared" si="60"/>
        <v>0</v>
      </c>
      <c r="L85" s="34">
        <f t="shared" si="60"/>
        <v>0</v>
      </c>
      <c r="M85" s="34">
        <f t="shared" si="60"/>
        <v>-3.0210188813680084E-2</v>
      </c>
      <c r="N85" s="34">
        <f t="shared" si="60"/>
        <v>8.3133850869146958E-2</v>
      </c>
      <c r="O85" s="34">
        <f t="shared" si="60"/>
        <v>0.11403053874963988</v>
      </c>
      <c r="P85" s="34">
        <v>0.03</v>
      </c>
      <c r="Q85" s="34">
        <v>0.03</v>
      </c>
      <c r="R85" s="34">
        <v>0.03</v>
      </c>
      <c r="S85" s="34">
        <v>0.03</v>
      </c>
      <c r="T85" s="34">
        <v>0.03</v>
      </c>
      <c r="U85" s="34">
        <v>0.03</v>
      </c>
      <c r="V85" s="34">
        <v>0.03</v>
      </c>
    </row>
    <row r="86" spans="9:22" x14ac:dyDescent="0.35">
      <c r="I86" t="s">
        <v>170</v>
      </c>
      <c r="J86" s="34">
        <f t="shared" ref="J86:O86" si="61">J29/J12</f>
        <v>-6.5909047427729628E-2</v>
      </c>
      <c r="K86" s="34">
        <f t="shared" si="61"/>
        <v>5.7028965185689673E-2</v>
      </c>
      <c r="L86" s="34">
        <f t="shared" si="61"/>
        <v>-3.3276245658402294E-2</v>
      </c>
      <c r="M86" s="34">
        <f t="shared" si="61"/>
        <v>-8.2650516565728541E-3</v>
      </c>
      <c r="N86" s="34">
        <f t="shared" si="61"/>
        <v>2.9530861987963936E-3</v>
      </c>
      <c r="O86" s="34">
        <f t="shared" si="61"/>
        <v>-4.3791414577931433E-2</v>
      </c>
      <c r="P86" s="34">
        <v>-0.02</v>
      </c>
      <c r="Q86" s="34">
        <v>-0.02</v>
      </c>
      <c r="R86" s="34">
        <v>-0.02</v>
      </c>
      <c r="S86" s="34">
        <v>-0.02</v>
      </c>
      <c r="T86" s="34">
        <v>-0.02</v>
      </c>
      <c r="U86" s="34">
        <v>-0.02</v>
      </c>
      <c r="V86" s="34">
        <v>-0.02</v>
      </c>
    </row>
    <row r="87" spans="9:22" x14ac:dyDescent="0.35">
      <c r="I87" t="s">
        <v>181</v>
      </c>
      <c r="J87" s="34"/>
      <c r="K87" s="34">
        <f>K30/Balance!Z42</f>
        <v>-2.6212803662408624E-2</v>
      </c>
      <c r="L87" s="34">
        <f>L30/Balance!AA42</f>
        <v>3.1786754794103582E-2</v>
      </c>
      <c r="M87" s="34">
        <f>M30/Balance!AB42</f>
        <v>0.23849351919784789</v>
      </c>
      <c r="N87" s="34">
        <f>N30/Balance!AC42</f>
        <v>4.3094160741219564E-2</v>
      </c>
      <c r="O87" s="34">
        <f>O30/Balance!AD42</f>
        <v>-7.8796053098601545E-3</v>
      </c>
      <c r="P87" s="34">
        <v>0.06</v>
      </c>
      <c r="Q87" s="34">
        <v>0.02</v>
      </c>
      <c r="R87" s="34">
        <v>0.02</v>
      </c>
      <c r="S87" s="34">
        <v>0.02</v>
      </c>
      <c r="T87" s="34">
        <v>0.02</v>
      </c>
      <c r="U87" s="34">
        <v>0.02</v>
      </c>
      <c r="V87" s="34">
        <v>0.02</v>
      </c>
    </row>
    <row r="88" spans="9:22" x14ac:dyDescent="0.35">
      <c r="J88" s="13"/>
      <c r="K88" s="13"/>
      <c r="L88" s="13"/>
      <c r="M88" s="13"/>
      <c r="N88" s="13"/>
      <c r="O88" s="13"/>
      <c r="P88" s="34"/>
      <c r="Q88" s="34"/>
      <c r="R88" s="34"/>
      <c r="S88" s="34"/>
      <c r="T88" s="34"/>
      <c r="U88" s="34"/>
      <c r="V88" s="34"/>
    </row>
    <row r="90" spans="9:22" x14ac:dyDescent="0.35">
      <c r="J90" s="13"/>
      <c r="K90" s="13"/>
      <c r="L90" s="13"/>
      <c r="M90" s="13"/>
      <c r="N90" s="13"/>
      <c r="O90" s="13"/>
    </row>
    <row r="91" spans="9:22" x14ac:dyDescent="0.35">
      <c r="I91" s="12"/>
      <c r="J91" s="13"/>
      <c r="K91" s="13"/>
      <c r="L91" s="13"/>
      <c r="M91" s="13"/>
      <c r="N91" s="13"/>
      <c r="O91" s="13"/>
    </row>
    <row r="92" spans="9:22" x14ac:dyDescent="0.35">
      <c r="I92" s="1"/>
      <c r="J92" s="13"/>
      <c r="K92" s="13"/>
      <c r="L92" s="13"/>
      <c r="M92" s="13"/>
      <c r="N92" s="13"/>
      <c r="O92" s="13"/>
    </row>
    <row r="93" spans="9:22" x14ac:dyDescent="0.35">
      <c r="J93" s="13"/>
      <c r="K93" s="13"/>
      <c r="L93" s="13"/>
      <c r="M93" s="13"/>
      <c r="N93" s="13"/>
      <c r="O93" s="13"/>
    </row>
    <row r="94" spans="9:22" x14ac:dyDescent="0.35">
      <c r="J94" s="13"/>
      <c r="K94" s="13"/>
      <c r="L94" s="13"/>
      <c r="M94" s="13"/>
      <c r="N94" s="13"/>
      <c r="O94" s="13"/>
    </row>
    <row r="95" spans="9:22" x14ac:dyDescent="0.35">
      <c r="J95" s="13"/>
      <c r="K95" s="13"/>
      <c r="L95" s="13"/>
      <c r="M95" s="13"/>
      <c r="N95" s="13"/>
      <c r="O95" s="13"/>
    </row>
    <row r="96" spans="9:22" x14ac:dyDescent="0.35">
      <c r="J96" s="13"/>
      <c r="K96" s="13"/>
      <c r="L96" s="13"/>
      <c r="M96" s="13"/>
      <c r="N96" s="13"/>
      <c r="O96" s="13"/>
    </row>
    <row r="97" spans="9:15" x14ac:dyDescent="0.35">
      <c r="J97" s="13"/>
      <c r="K97" s="13"/>
      <c r="L97" s="13"/>
      <c r="M97" s="13"/>
      <c r="N97" s="13"/>
      <c r="O97" s="13"/>
    </row>
    <row r="98" spans="9:15" x14ac:dyDescent="0.35">
      <c r="I98" s="12" t="s">
        <v>70</v>
      </c>
      <c r="J98" s="13"/>
      <c r="K98" s="13"/>
      <c r="L98" s="13"/>
      <c r="M98" s="13"/>
      <c r="N98" s="13"/>
      <c r="O98" s="13"/>
    </row>
    <row r="99" spans="9:15" x14ac:dyDescent="0.35">
      <c r="I99" s="1" t="s">
        <v>71</v>
      </c>
      <c r="J99" s="13"/>
      <c r="K99" s="13"/>
      <c r="L99" s="13"/>
      <c r="M99" s="13"/>
      <c r="N99" s="13"/>
      <c r="O99" s="13"/>
    </row>
    <row r="101" spans="9:15" x14ac:dyDescent="0.35">
      <c r="I101" t="s">
        <v>48</v>
      </c>
      <c r="J101" s="13">
        <f t="shared" ref="J101:O101" si="62">J19/J12</f>
        <v>0.17964759226310051</v>
      </c>
      <c r="K101" s="13">
        <f t="shared" si="62"/>
        <v>0.20594126837867072</v>
      </c>
      <c r="L101" s="13">
        <f t="shared" si="62"/>
        <v>0.23546265025529395</v>
      </c>
      <c r="M101" s="13">
        <f t="shared" si="62"/>
        <v>0.33997149982187391</v>
      </c>
      <c r="N101" s="13">
        <f t="shared" si="62"/>
        <v>0.39000872502740552</v>
      </c>
      <c r="O101" s="13">
        <f t="shared" si="62"/>
        <v>0.21276289253817343</v>
      </c>
    </row>
    <row r="102" spans="9:15" x14ac:dyDescent="0.35">
      <c r="I102" t="s">
        <v>72</v>
      </c>
      <c r="J102" s="13"/>
      <c r="K102" s="13"/>
      <c r="L102" s="13"/>
      <c r="M102" s="13"/>
      <c r="N102" s="13"/>
      <c r="O102" s="13"/>
    </row>
    <row r="103" spans="9:15" x14ac:dyDescent="0.35">
      <c r="I103" t="s">
        <v>49</v>
      </c>
      <c r="J103" s="13"/>
      <c r="K103" s="13"/>
      <c r="L103" s="13"/>
      <c r="M103" s="13"/>
      <c r="N103" s="13"/>
      <c r="O103" s="13"/>
    </row>
    <row r="104" spans="9:15" x14ac:dyDescent="0.35">
      <c r="I104" t="s">
        <v>50</v>
      </c>
      <c r="J104" s="13"/>
      <c r="K104" s="13"/>
      <c r="L104" s="13"/>
      <c r="M104" s="13"/>
      <c r="N104" s="13"/>
      <c r="O104" s="13"/>
    </row>
    <row r="105" spans="9:15" x14ac:dyDescent="0.35">
      <c r="I105" t="s">
        <v>51</v>
      </c>
      <c r="J105" s="13"/>
      <c r="K105" s="13"/>
      <c r="L105" s="13"/>
      <c r="M105" s="13"/>
      <c r="N105" s="13"/>
      <c r="O105" s="13"/>
    </row>
    <row r="107" spans="9:15" x14ac:dyDescent="0.35">
      <c r="I107" t="s">
        <v>52</v>
      </c>
      <c r="J107" s="13"/>
      <c r="K107" s="13"/>
      <c r="L107" s="13"/>
      <c r="M107" s="13"/>
      <c r="N107" s="13"/>
      <c r="O107" s="13"/>
    </row>
    <row r="108" spans="9:15" x14ac:dyDescent="0.35">
      <c r="K108" s="9"/>
    </row>
  </sheetData>
  <mergeCells count="8">
    <mergeCell ref="A1:G1"/>
    <mergeCell ref="I1:O1"/>
    <mergeCell ref="P67:T67"/>
    <mergeCell ref="U67:V67"/>
    <mergeCell ref="J4:O4"/>
    <mergeCell ref="P4:T4"/>
    <mergeCell ref="U4:V4"/>
    <mergeCell ref="J67:O6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EDE9F-7FA7-4D20-9716-766660DBFCD8}">
  <dimension ref="A2:AL79"/>
  <sheetViews>
    <sheetView topLeftCell="W11" zoomScale="85" zoomScaleNormal="85" workbookViewId="0">
      <selection activeCell="AI2" sqref="AI2"/>
    </sheetView>
  </sheetViews>
  <sheetFormatPr defaultColWidth="11.54296875" defaultRowHeight="14.5" x14ac:dyDescent="0.35"/>
  <cols>
    <col min="1" max="1" width="42.54296875" customWidth="1"/>
    <col min="9" max="9" width="35.1796875" customWidth="1"/>
    <col min="17" max="17" width="35" customWidth="1"/>
    <col min="25" max="25" width="32.36328125" customWidth="1"/>
  </cols>
  <sheetData>
    <row r="2" spans="1:38" ht="26" x14ac:dyDescent="0.6">
      <c r="A2" s="96" t="s">
        <v>26</v>
      </c>
      <c r="B2" s="96"/>
      <c r="C2" s="96"/>
      <c r="D2" s="96"/>
      <c r="E2" s="96"/>
      <c r="F2" s="96"/>
      <c r="G2" s="96"/>
      <c r="I2" s="96" t="s">
        <v>136</v>
      </c>
      <c r="J2" s="96"/>
      <c r="K2" s="96"/>
      <c r="L2" s="96"/>
      <c r="M2" s="96"/>
      <c r="N2" s="96"/>
      <c r="O2" s="96"/>
      <c r="Q2" s="96" t="s">
        <v>137</v>
      </c>
      <c r="R2" s="96"/>
      <c r="S2" s="96"/>
      <c r="T2" s="96"/>
      <c r="U2" s="96"/>
      <c r="V2" s="96"/>
      <c r="W2" s="96"/>
      <c r="Y2" s="96" t="s">
        <v>138</v>
      </c>
      <c r="Z2" s="96"/>
      <c r="AA2" s="96"/>
      <c r="AB2" s="96"/>
      <c r="AC2" s="96"/>
      <c r="AD2" s="96"/>
      <c r="AE2" s="96"/>
    </row>
    <row r="4" spans="1:38" x14ac:dyDescent="0.35">
      <c r="Z4" s="97" t="s">
        <v>42</v>
      </c>
      <c r="AA4" s="97"/>
      <c r="AB4" s="97"/>
      <c r="AC4" s="97"/>
      <c r="AD4" s="97"/>
      <c r="AE4" s="97"/>
      <c r="AF4" s="97" t="s">
        <v>46</v>
      </c>
      <c r="AG4" s="97"/>
      <c r="AH4" s="97"/>
      <c r="AI4" s="97"/>
      <c r="AJ4" s="97"/>
      <c r="AK4" s="97" t="s">
        <v>47</v>
      </c>
      <c r="AL4" s="97"/>
    </row>
    <row r="6" spans="1:38" x14ac:dyDescent="0.35">
      <c r="Z6">
        <v>-5</v>
      </c>
      <c r="AA6">
        <v>-4</v>
      </c>
      <c r="AB6">
        <v>-3</v>
      </c>
      <c r="AC6">
        <v>-2</v>
      </c>
      <c r="AD6">
        <v>-1</v>
      </c>
      <c r="AE6">
        <v>0</v>
      </c>
      <c r="AF6">
        <v>1</v>
      </c>
      <c r="AG6">
        <v>2</v>
      </c>
      <c r="AH6">
        <v>3</v>
      </c>
      <c r="AI6">
        <v>4</v>
      </c>
      <c r="AJ6">
        <v>5</v>
      </c>
      <c r="AK6">
        <v>6</v>
      </c>
      <c r="AL6">
        <v>7</v>
      </c>
    </row>
    <row r="7" spans="1:38" x14ac:dyDescent="0.35">
      <c r="A7" s="2" t="s">
        <v>1</v>
      </c>
      <c r="B7" s="2">
        <v>2015</v>
      </c>
      <c r="C7" s="2">
        <v>2016</v>
      </c>
      <c r="D7" s="2">
        <v>2017</v>
      </c>
      <c r="E7" s="2">
        <v>2018</v>
      </c>
      <c r="F7" s="2">
        <v>2019</v>
      </c>
      <c r="G7" s="2">
        <v>2020</v>
      </c>
      <c r="I7" s="2" t="s">
        <v>1</v>
      </c>
      <c r="J7" s="2">
        <v>2015</v>
      </c>
      <c r="K7" s="2">
        <v>2016</v>
      </c>
      <c r="L7" s="2">
        <v>2017</v>
      </c>
      <c r="M7" s="2">
        <v>2018</v>
      </c>
      <c r="N7" s="2">
        <v>2019</v>
      </c>
      <c r="O7" s="2">
        <v>2020</v>
      </c>
      <c r="Q7" s="2" t="s">
        <v>1</v>
      </c>
      <c r="R7" s="2">
        <v>2015</v>
      </c>
      <c r="S7" s="2">
        <v>2016</v>
      </c>
      <c r="T7" s="2">
        <v>2017</v>
      </c>
      <c r="U7" s="2">
        <v>2018</v>
      </c>
      <c r="V7" s="2">
        <v>2019</v>
      </c>
      <c r="W7" s="2">
        <v>2020</v>
      </c>
      <c r="Y7" s="2" t="s">
        <v>1</v>
      </c>
      <c r="Z7" s="2">
        <v>2015</v>
      </c>
      <c r="AA7" s="2">
        <v>2016</v>
      </c>
      <c r="AB7" s="2">
        <v>2017</v>
      </c>
      <c r="AC7" s="2">
        <v>2018</v>
      </c>
      <c r="AD7" s="2">
        <v>2019</v>
      </c>
      <c r="AE7" s="2">
        <v>2020</v>
      </c>
      <c r="AF7" s="2">
        <v>2021</v>
      </c>
      <c r="AG7" s="2">
        <v>2022</v>
      </c>
      <c r="AH7" s="2">
        <v>2023</v>
      </c>
      <c r="AI7" s="2">
        <v>2024</v>
      </c>
      <c r="AJ7" s="2">
        <v>2025</v>
      </c>
      <c r="AK7" s="2">
        <v>2026</v>
      </c>
      <c r="AL7" s="2">
        <v>2027</v>
      </c>
    </row>
    <row r="8" spans="1:38" x14ac:dyDescent="0.35">
      <c r="A8" t="s">
        <v>27</v>
      </c>
      <c r="B8" s="4"/>
      <c r="C8" s="4"/>
      <c r="D8" s="4"/>
      <c r="E8" s="4"/>
      <c r="F8" s="4"/>
      <c r="G8" s="4"/>
    </row>
    <row r="9" spans="1:38" x14ac:dyDescent="0.35">
      <c r="A9" t="s">
        <v>96</v>
      </c>
      <c r="B9" s="4">
        <v>0</v>
      </c>
      <c r="C9" s="4">
        <v>0</v>
      </c>
      <c r="D9" s="4">
        <v>962</v>
      </c>
      <c r="E9" s="4">
        <v>676</v>
      </c>
      <c r="F9" s="4">
        <v>614</v>
      </c>
      <c r="G9" s="4">
        <v>1658</v>
      </c>
      <c r="I9" t="s">
        <v>96</v>
      </c>
      <c r="J9" s="4">
        <v>0</v>
      </c>
      <c r="K9" s="4">
        <v>0</v>
      </c>
      <c r="L9" s="4">
        <v>962</v>
      </c>
      <c r="M9" s="4">
        <v>676</v>
      </c>
      <c r="N9" s="4">
        <v>614</v>
      </c>
      <c r="O9" s="4">
        <v>1658</v>
      </c>
      <c r="Q9" t="s">
        <v>96</v>
      </c>
      <c r="R9" s="4">
        <v>0</v>
      </c>
      <c r="S9" s="4">
        <v>0</v>
      </c>
      <c r="T9" s="4">
        <v>962</v>
      </c>
      <c r="U9" s="4">
        <v>676</v>
      </c>
      <c r="V9" s="4">
        <v>614</v>
      </c>
      <c r="W9" s="4">
        <v>1658</v>
      </c>
      <c r="Y9" t="s">
        <v>96</v>
      </c>
      <c r="Z9" s="4">
        <v>0</v>
      </c>
      <c r="AA9" s="4">
        <v>0</v>
      </c>
      <c r="AB9" s="4">
        <v>962</v>
      </c>
      <c r="AC9" s="4">
        <v>676</v>
      </c>
      <c r="AD9" s="4">
        <v>614</v>
      </c>
      <c r="AE9" s="4">
        <v>1658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</row>
    <row r="10" spans="1:38" x14ac:dyDescent="0.35">
      <c r="A10" t="s">
        <v>97</v>
      </c>
      <c r="B10" s="4">
        <v>5822</v>
      </c>
      <c r="C10" s="4">
        <v>4533</v>
      </c>
      <c r="D10" s="4">
        <v>3313</v>
      </c>
      <c r="E10" s="4">
        <v>3909</v>
      </c>
      <c r="F10" s="4">
        <v>4633</v>
      </c>
      <c r="G10" s="4">
        <v>4113</v>
      </c>
      <c r="H10" s="4"/>
      <c r="I10" t="s">
        <v>97</v>
      </c>
      <c r="J10" s="4">
        <v>5822</v>
      </c>
      <c r="K10" s="4">
        <v>4533</v>
      </c>
      <c r="L10" s="4">
        <v>3313</v>
      </c>
      <c r="M10" s="4">
        <v>3909</v>
      </c>
      <c r="N10" s="4">
        <v>4633</v>
      </c>
      <c r="O10" s="4">
        <v>4113</v>
      </c>
      <c r="Q10" t="s">
        <v>97</v>
      </c>
      <c r="R10" s="4">
        <v>5822</v>
      </c>
      <c r="S10" s="4">
        <v>4533</v>
      </c>
      <c r="T10" s="4">
        <v>3313</v>
      </c>
      <c r="U10" s="4">
        <v>3909</v>
      </c>
      <c r="V10" s="4">
        <v>4633</v>
      </c>
      <c r="W10" s="4">
        <v>4113</v>
      </c>
      <c r="Y10" t="s">
        <v>97</v>
      </c>
      <c r="Z10" s="4">
        <v>5822</v>
      </c>
      <c r="AA10" s="4">
        <v>4533</v>
      </c>
      <c r="AB10" s="4">
        <v>3313</v>
      </c>
      <c r="AC10" s="4">
        <v>3909</v>
      </c>
      <c r="AD10" s="4">
        <v>4633</v>
      </c>
      <c r="AE10" s="4">
        <v>4113</v>
      </c>
      <c r="AF10" s="4">
        <f>AF53*'Income statement'!P12</f>
        <v>7118.843471305584</v>
      </c>
      <c r="AG10" s="4">
        <f>AG53*'Income statement'!Q12</f>
        <v>5583.8859256690357</v>
      </c>
      <c r="AH10" s="4">
        <f>AH53*'Income statement'!R12</f>
        <v>6077.6189969913512</v>
      </c>
      <c r="AI10" s="4">
        <f>AI53*'Income statement'!S12</f>
        <v>6284.2580428890578</v>
      </c>
      <c r="AJ10" s="4">
        <f>AJ53*'Income statement'!T12</f>
        <v>6822.8189571646499</v>
      </c>
      <c r="AK10" s="4">
        <f>AK53*'Income statement'!U12</f>
        <v>6510.9186619799784</v>
      </c>
      <c r="AL10" s="4">
        <f>AL53*'Income statement'!V12</f>
        <v>6523.9404993039389</v>
      </c>
    </row>
    <row r="11" spans="1:38" x14ac:dyDescent="0.35">
      <c r="A11" t="s">
        <v>98</v>
      </c>
      <c r="B11" s="4">
        <v>111207</v>
      </c>
      <c r="C11" s="4">
        <v>103303</v>
      </c>
      <c r="D11" s="4">
        <v>103193</v>
      </c>
      <c r="E11" s="4">
        <v>105744</v>
      </c>
      <c r="F11" s="4">
        <v>109852</v>
      </c>
      <c r="G11" s="4">
        <v>112057</v>
      </c>
      <c r="I11" t="s">
        <v>98</v>
      </c>
      <c r="J11" s="4">
        <v>111207</v>
      </c>
      <c r="K11" s="4">
        <v>103303</v>
      </c>
      <c r="L11" s="4">
        <v>103193</v>
      </c>
      <c r="M11" s="4">
        <v>105744</v>
      </c>
      <c r="N11" s="4">
        <v>109852</v>
      </c>
      <c r="O11" s="4">
        <v>112057</v>
      </c>
      <c r="Q11" t="s">
        <v>98</v>
      </c>
      <c r="R11" s="4">
        <v>111207</v>
      </c>
      <c r="S11" s="4">
        <v>103303</v>
      </c>
      <c r="T11" s="4">
        <v>103193</v>
      </c>
      <c r="U11" s="4">
        <v>105744</v>
      </c>
      <c r="V11" s="4">
        <v>109852</v>
      </c>
      <c r="W11" s="4">
        <v>112057</v>
      </c>
      <c r="Y11" t="s">
        <v>98</v>
      </c>
      <c r="Z11" s="4">
        <v>111207</v>
      </c>
      <c r="AA11" s="4">
        <v>103303</v>
      </c>
      <c r="AB11" s="4">
        <v>103193</v>
      </c>
      <c r="AC11" s="4">
        <v>105744</v>
      </c>
      <c r="AD11" s="4">
        <v>109852</v>
      </c>
      <c r="AE11" s="4">
        <v>112057</v>
      </c>
      <c r="AF11" s="4">
        <f>AE11+AF76+'Income statement'!P20</f>
        <v>115597.91442564799</v>
      </c>
      <c r="AG11" s="4">
        <f>AF11+AG76+'Income statement'!Q20</f>
        <v>116795.58004651232</v>
      </c>
      <c r="AH11" s="4">
        <f>AG11+AH76+'Income statement'!R20</f>
        <v>118658.54636395189</v>
      </c>
      <c r="AI11" s="4">
        <f>AH11+AI76+'Income statement'!S20</f>
        <v>120675.06365889903</v>
      </c>
      <c r="AJ11" s="4">
        <f>AI11+AJ76+'Income statement'!T20</f>
        <v>123287.73313755254</v>
      </c>
      <c r="AK11" s="4">
        <f>AJ11+AK76+'Income statement'!U20</f>
        <v>123908.04429065032</v>
      </c>
      <c r="AL11" s="4">
        <f>AK11+AL76+'Income statement'!V20</f>
        <v>124527.18657836811</v>
      </c>
    </row>
    <row r="12" spans="1:38" x14ac:dyDescent="0.35">
      <c r="A12" t="s">
        <v>99</v>
      </c>
      <c r="B12" s="4">
        <v>19388</v>
      </c>
      <c r="C12" s="4">
        <v>19438</v>
      </c>
      <c r="D12" s="4">
        <v>13410</v>
      </c>
      <c r="E12" s="4">
        <v>13105</v>
      </c>
      <c r="F12" s="4">
        <v>12917</v>
      </c>
      <c r="G12" s="4">
        <v>13492</v>
      </c>
      <c r="I12" s="15" t="s">
        <v>99</v>
      </c>
      <c r="J12" s="16">
        <v>19388</v>
      </c>
      <c r="K12" s="16">
        <v>19438</v>
      </c>
      <c r="L12" s="16">
        <v>13410</v>
      </c>
      <c r="M12" s="16">
        <v>13105</v>
      </c>
      <c r="N12" s="16">
        <v>12917</v>
      </c>
      <c r="O12" s="16">
        <v>13492</v>
      </c>
      <c r="Q12" t="s">
        <v>99</v>
      </c>
      <c r="R12" s="4">
        <v>19388</v>
      </c>
      <c r="S12" s="4">
        <v>19438</v>
      </c>
      <c r="T12" s="4">
        <v>13410</v>
      </c>
      <c r="U12" s="4">
        <v>13105</v>
      </c>
      <c r="V12" s="4">
        <v>12917</v>
      </c>
      <c r="W12" s="4">
        <v>13492</v>
      </c>
      <c r="Y12" t="s">
        <v>99</v>
      </c>
      <c r="Z12" s="4">
        <v>19388</v>
      </c>
      <c r="AA12" s="4">
        <v>19438</v>
      </c>
      <c r="AB12" s="4">
        <v>13410</v>
      </c>
      <c r="AC12" s="4">
        <v>13105</v>
      </c>
      <c r="AD12" s="4">
        <v>12917</v>
      </c>
      <c r="AE12" s="4">
        <v>13492</v>
      </c>
      <c r="AF12" s="4">
        <f>AF11*AF56</f>
        <v>15027.72887533424</v>
      </c>
      <c r="AG12" s="4">
        <f t="shared" ref="AG12:AL12" si="0">AG11*AG56</f>
        <v>15183.425406046601</v>
      </c>
      <c r="AH12" s="4">
        <f t="shared" si="0"/>
        <v>15425.611027313746</v>
      </c>
      <c r="AI12" s="4">
        <f t="shared" si="0"/>
        <v>15687.758275656875</v>
      </c>
      <c r="AJ12" s="4">
        <f t="shared" si="0"/>
        <v>16027.405307881831</v>
      </c>
      <c r="AK12" s="4">
        <f t="shared" si="0"/>
        <v>16108.045757784541</v>
      </c>
      <c r="AL12" s="4">
        <f t="shared" si="0"/>
        <v>16188.534255187855</v>
      </c>
    </row>
    <row r="13" spans="1:38" x14ac:dyDescent="0.35">
      <c r="A13" t="s">
        <v>94</v>
      </c>
      <c r="B13" s="4">
        <v>4675</v>
      </c>
      <c r="C13" s="4">
        <v>3047</v>
      </c>
      <c r="D13" s="4">
        <v>4023</v>
      </c>
      <c r="E13" s="4">
        <v>2926</v>
      </c>
      <c r="F13" s="4">
        <v>2694</v>
      </c>
      <c r="G13" s="4">
        <v>7406</v>
      </c>
      <c r="I13" s="1" t="s">
        <v>112</v>
      </c>
      <c r="J13" s="5">
        <f>SUM(J9:J12)</f>
        <v>136417</v>
      </c>
      <c r="K13" s="5">
        <f t="shared" ref="K13:O13" si="1">SUM(K9:K12)</f>
        <v>127274</v>
      </c>
      <c r="L13" s="5">
        <f t="shared" si="1"/>
        <v>120878</v>
      </c>
      <c r="M13" s="5">
        <f t="shared" si="1"/>
        <v>123434</v>
      </c>
      <c r="N13" s="5">
        <f t="shared" si="1"/>
        <v>128016</v>
      </c>
      <c r="O13" s="5">
        <f t="shared" si="1"/>
        <v>131320</v>
      </c>
      <c r="Q13" s="20" t="s">
        <v>103</v>
      </c>
      <c r="R13" s="4">
        <f>-J32</f>
        <v>-9435</v>
      </c>
      <c r="S13" s="4">
        <f t="shared" ref="S13:W13" si="2">-K32</f>
        <v>-9446</v>
      </c>
      <c r="T13" s="4">
        <f t="shared" si="2"/>
        <v>-9814</v>
      </c>
      <c r="U13" s="4">
        <f t="shared" si="2"/>
        <v>-9826</v>
      </c>
      <c r="V13" s="4">
        <f t="shared" si="2"/>
        <v>-10792</v>
      </c>
      <c r="W13" s="4">
        <f t="shared" si="2"/>
        <v>-10596</v>
      </c>
      <c r="Y13" s="20" t="s">
        <v>103</v>
      </c>
      <c r="Z13" s="4">
        <f>R13</f>
        <v>-9435</v>
      </c>
      <c r="AA13" s="4">
        <f t="shared" ref="AA13:AE15" si="3">S13</f>
        <v>-9446</v>
      </c>
      <c r="AB13" s="4">
        <f t="shared" si="3"/>
        <v>-9814</v>
      </c>
      <c r="AC13" s="4">
        <f t="shared" si="3"/>
        <v>-9826</v>
      </c>
      <c r="AD13" s="4">
        <f t="shared" si="3"/>
        <v>-10792</v>
      </c>
      <c r="AE13" s="4">
        <f t="shared" si="3"/>
        <v>-10596</v>
      </c>
      <c r="AF13" s="4">
        <f>AF11*AF55</f>
        <v>-9247.8331540518393</v>
      </c>
      <c r="AG13" s="4">
        <f t="shared" ref="AG13:AL13" si="4">AG11*AG55</f>
        <v>-9343.6464037209862</v>
      </c>
      <c r="AH13" s="4">
        <f t="shared" si="4"/>
        <v>-9492.6837091161506</v>
      </c>
      <c r="AI13" s="4">
        <f t="shared" si="4"/>
        <v>-9654.0050927119228</v>
      </c>
      <c r="AJ13" s="4">
        <f t="shared" si="4"/>
        <v>-9863.018651004204</v>
      </c>
      <c r="AK13" s="4">
        <f t="shared" si="4"/>
        <v>-9912.6435432520248</v>
      </c>
      <c r="AL13" s="4">
        <f t="shared" si="4"/>
        <v>-9962.1749262694484</v>
      </c>
    </row>
    <row r="14" spans="1:38" x14ac:dyDescent="0.35">
      <c r="A14" t="s">
        <v>105</v>
      </c>
      <c r="B14" s="4">
        <v>7874</v>
      </c>
      <c r="C14" s="4">
        <v>8961</v>
      </c>
      <c r="D14" s="4">
        <v>4368</v>
      </c>
      <c r="E14" s="4">
        <v>3986</v>
      </c>
      <c r="F14" s="4">
        <v>3597</v>
      </c>
      <c r="G14" s="4">
        <v>6338</v>
      </c>
      <c r="I14" t="s">
        <v>94</v>
      </c>
      <c r="J14" s="4">
        <v>4675</v>
      </c>
      <c r="K14" s="4">
        <v>3047</v>
      </c>
      <c r="L14" s="4">
        <v>4023</v>
      </c>
      <c r="M14" s="4">
        <v>2926</v>
      </c>
      <c r="N14" s="4">
        <v>2694</v>
      </c>
      <c r="O14" s="4">
        <v>7406</v>
      </c>
      <c r="Q14" s="20" t="s">
        <v>123</v>
      </c>
      <c r="R14" s="4">
        <f>-J33</f>
        <v>-9669</v>
      </c>
      <c r="S14" s="4">
        <f t="shared" ref="S14:W14" si="5">-K33</f>
        <v>-7502</v>
      </c>
      <c r="T14" s="4">
        <f t="shared" si="5"/>
        <v>-3397</v>
      </c>
      <c r="U14" s="4">
        <f t="shared" si="5"/>
        <v>-3192</v>
      </c>
      <c r="V14" s="4">
        <f t="shared" si="5"/>
        <v>-3031</v>
      </c>
      <c r="W14" s="4">
        <f t="shared" si="5"/>
        <v>-3209</v>
      </c>
      <c r="Y14" s="20" t="s">
        <v>123</v>
      </c>
      <c r="Z14" s="4">
        <f t="shared" ref="Z14:Z15" si="6">R14</f>
        <v>-9669</v>
      </c>
      <c r="AA14" s="4">
        <f t="shared" si="3"/>
        <v>-7502</v>
      </c>
      <c r="AB14" s="4">
        <f t="shared" si="3"/>
        <v>-3397</v>
      </c>
      <c r="AC14" s="4">
        <f t="shared" si="3"/>
        <v>-3192</v>
      </c>
      <c r="AD14" s="4">
        <f t="shared" si="3"/>
        <v>-3031</v>
      </c>
      <c r="AE14" s="4">
        <f t="shared" si="3"/>
        <v>-3209</v>
      </c>
      <c r="AF14" s="4">
        <f>AF57*'Income statement'!P12</f>
        <v>-9491.791295074112</v>
      </c>
      <c r="AG14" s="4">
        <f>AG57*'Income statement'!Q12</f>
        <v>-7445.1812342253816</v>
      </c>
      <c r="AH14" s="4">
        <f>AH57*'Income statement'!R12</f>
        <v>-8103.4919959884683</v>
      </c>
      <c r="AI14" s="4">
        <f>AI57*'Income statement'!S12</f>
        <v>-8379.0107238520759</v>
      </c>
      <c r="AJ14" s="4">
        <f>AJ57*'Income statement'!T12</f>
        <v>-9097.0919428861998</v>
      </c>
      <c r="AK14" s="4">
        <f>AK57*'Income statement'!U12</f>
        <v>-8681.2248826399718</v>
      </c>
      <c r="AL14" s="4">
        <f>AL57*'Income statement'!V12</f>
        <v>-8698.5873324052518</v>
      </c>
    </row>
    <row r="15" spans="1:38" x14ac:dyDescent="0.35">
      <c r="A15" s="1" t="s">
        <v>28</v>
      </c>
      <c r="B15" s="5">
        <v>148966</v>
      </c>
      <c r="C15" s="5">
        <v>139282</v>
      </c>
      <c r="D15" s="5">
        <v>129269</v>
      </c>
      <c r="E15" s="5">
        <v>130345</v>
      </c>
      <c r="F15" s="5">
        <v>134306</v>
      </c>
      <c r="G15" s="5">
        <v>145064</v>
      </c>
      <c r="I15" t="s">
        <v>105</v>
      </c>
      <c r="J15" s="4">
        <v>7874</v>
      </c>
      <c r="K15" s="4">
        <v>8961</v>
      </c>
      <c r="L15" s="4">
        <v>4367</v>
      </c>
      <c r="M15" s="4">
        <v>3986</v>
      </c>
      <c r="N15" s="4">
        <v>3597</v>
      </c>
      <c r="O15" s="4">
        <v>6338</v>
      </c>
      <c r="Q15" s="21" t="s">
        <v>124</v>
      </c>
      <c r="R15" s="16">
        <f>-J34</f>
        <v>0</v>
      </c>
      <c r="S15" s="16">
        <f t="shared" ref="S15:W15" si="7">-K34</f>
        <v>0</v>
      </c>
      <c r="T15" s="16">
        <f t="shared" si="7"/>
        <v>0</v>
      </c>
      <c r="U15" s="16">
        <f t="shared" si="7"/>
        <v>0</v>
      </c>
      <c r="V15" s="16">
        <f t="shared" si="7"/>
        <v>0</v>
      </c>
      <c r="W15" s="16">
        <f t="shared" si="7"/>
        <v>-4367</v>
      </c>
      <c r="Y15" s="21" t="s">
        <v>124</v>
      </c>
      <c r="Z15" s="16">
        <f t="shared" si="6"/>
        <v>0</v>
      </c>
      <c r="AA15" s="16">
        <f t="shared" si="3"/>
        <v>0</v>
      </c>
      <c r="AB15" s="16">
        <f t="shared" si="3"/>
        <v>0</v>
      </c>
      <c r="AC15" s="16">
        <f t="shared" si="3"/>
        <v>0</v>
      </c>
      <c r="AD15" s="16">
        <f t="shared" si="3"/>
        <v>0</v>
      </c>
      <c r="AE15" s="16">
        <f t="shared" si="3"/>
        <v>-4367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</row>
    <row r="16" spans="1:38" x14ac:dyDescent="0.35">
      <c r="A16" t="s">
        <v>100</v>
      </c>
      <c r="B16" s="4">
        <v>1044</v>
      </c>
      <c r="C16" s="4">
        <v>2653</v>
      </c>
      <c r="D16" s="4">
        <v>2871</v>
      </c>
      <c r="E16" s="4">
        <v>6316</v>
      </c>
      <c r="F16" s="4">
        <v>4468</v>
      </c>
      <c r="G16" s="4">
        <v>6363</v>
      </c>
      <c r="I16" t="s">
        <v>95</v>
      </c>
      <c r="J16" s="4">
        <v>513</v>
      </c>
      <c r="K16" s="4">
        <v>532</v>
      </c>
      <c r="L16" s="4">
        <v>918</v>
      </c>
      <c r="M16" s="4">
        <v>604</v>
      </c>
      <c r="N16" s="4">
        <v>1470</v>
      </c>
      <c r="O16" s="4">
        <v>606</v>
      </c>
      <c r="Q16" s="23" t="s">
        <v>125</v>
      </c>
      <c r="R16" s="24">
        <f>SUM(R9:R15)</f>
        <v>117313</v>
      </c>
      <c r="S16" s="24">
        <f t="shared" ref="S16:W16" si="8">SUM(S9:S15)</f>
        <v>110326</v>
      </c>
      <c r="T16" s="24">
        <f t="shared" si="8"/>
        <v>107667</v>
      </c>
      <c r="U16" s="24">
        <f t="shared" si="8"/>
        <v>110416</v>
      </c>
      <c r="V16" s="24">
        <f t="shared" si="8"/>
        <v>114193</v>
      </c>
      <c r="W16" s="24">
        <f t="shared" si="8"/>
        <v>113148</v>
      </c>
      <c r="Y16" s="23" t="s">
        <v>125</v>
      </c>
      <c r="Z16" s="24">
        <f>SUM(Z9:Z15)</f>
        <v>117313</v>
      </c>
      <c r="AA16" s="24">
        <f t="shared" ref="AA16:AE16" si="9">SUM(AA9:AA15)</f>
        <v>110326</v>
      </c>
      <c r="AB16" s="24">
        <f t="shared" si="9"/>
        <v>107667</v>
      </c>
      <c r="AC16" s="24">
        <f t="shared" si="9"/>
        <v>110416</v>
      </c>
      <c r="AD16" s="24">
        <f t="shared" si="9"/>
        <v>114193</v>
      </c>
      <c r="AE16" s="24">
        <f t="shared" si="9"/>
        <v>113148</v>
      </c>
      <c r="AF16" s="24">
        <f>AF9+AF10+AF11+AF12+AF13+AF14+AF15</f>
        <v>119004.86232316185</v>
      </c>
      <c r="AG16" s="24">
        <f t="shared" ref="AG16:AK16" si="10">AG9+AG10+AG11+AG12+AG13+AG14+AG15</f>
        <v>120774.06374028158</v>
      </c>
      <c r="AH16" s="24">
        <f t="shared" si="10"/>
        <v>122565.60068315236</v>
      </c>
      <c r="AI16" s="24">
        <f t="shared" si="10"/>
        <v>124614.06416088097</v>
      </c>
      <c r="AJ16" s="24">
        <f t="shared" si="10"/>
        <v>127177.84680870861</v>
      </c>
      <c r="AK16" s="24">
        <f t="shared" si="10"/>
        <v>127933.14028452284</v>
      </c>
      <c r="AL16" s="24">
        <f>AL9+AL10+AL11+AL12+AL13+AL14+AL15</f>
        <v>128578.89907418519</v>
      </c>
    </row>
    <row r="17" spans="1:38" x14ac:dyDescent="0.35">
      <c r="A17" t="s">
        <v>101</v>
      </c>
      <c r="B17" s="4">
        <v>10675</v>
      </c>
      <c r="C17" s="4">
        <v>10219</v>
      </c>
      <c r="D17" s="4">
        <v>15372</v>
      </c>
      <c r="E17" s="4">
        <v>12831</v>
      </c>
      <c r="F17" s="4">
        <v>13348</v>
      </c>
      <c r="G17" s="4">
        <v>13659</v>
      </c>
      <c r="I17" t="s">
        <v>94</v>
      </c>
      <c r="J17" s="4">
        <v>6651</v>
      </c>
      <c r="K17" s="4">
        <v>6637</v>
      </c>
      <c r="L17" s="4">
        <v>6537</v>
      </c>
      <c r="M17" s="4">
        <v>9118</v>
      </c>
      <c r="N17" s="4">
        <v>8752</v>
      </c>
      <c r="O17" s="4">
        <v>4410</v>
      </c>
      <c r="Q17" t="s">
        <v>100</v>
      </c>
      <c r="R17" s="4">
        <v>1044</v>
      </c>
      <c r="S17" s="4">
        <v>2653</v>
      </c>
      <c r="T17" s="4">
        <v>2871</v>
      </c>
      <c r="U17" s="4">
        <v>6316</v>
      </c>
      <c r="V17" s="4">
        <v>4468</v>
      </c>
      <c r="W17" s="4">
        <v>6363</v>
      </c>
      <c r="Y17" t="s">
        <v>100</v>
      </c>
      <c r="Z17" s="4">
        <v>1044</v>
      </c>
      <c r="AA17" s="4">
        <v>2653</v>
      </c>
      <c r="AB17" s="4">
        <v>2871</v>
      </c>
      <c r="AC17" s="4">
        <v>6316</v>
      </c>
      <c r="AD17" s="4">
        <v>4468</v>
      </c>
      <c r="AE17" s="4">
        <v>6363</v>
      </c>
      <c r="AF17" s="13">
        <f>AF61*'Income statement'!P12</f>
        <v>6327.8608633827416</v>
      </c>
      <c r="AG17" s="13">
        <f>AG61*'Income statement'!Q12</f>
        <v>4963.4541561502547</v>
      </c>
      <c r="AH17" s="13">
        <f>AH61*'Income statement'!R12</f>
        <v>5402.3279973256458</v>
      </c>
      <c r="AI17" s="13">
        <f>AI61*'Income statement'!S12</f>
        <v>5586.0071492347179</v>
      </c>
      <c r="AJ17" s="13">
        <f>AJ61*'Income statement'!T12</f>
        <v>6064.7279619241335</v>
      </c>
      <c r="AK17" s="13">
        <f>AK61*'Income statement'!U12</f>
        <v>5787.4832550933143</v>
      </c>
      <c r="AL17" s="13">
        <f>AL61*'Income statement'!V12</f>
        <v>5799.0582216035018</v>
      </c>
    </row>
    <row r="18" spans="1:38" x14ac:dyDescent="0.35">
      <c r="A18" t="s">
        <v>95</v>
      </c>
      <c r="B18" s="4">
        <v>513</v>
      </c>
      <c r="C18" s="4">
        <v>532</v>
      </c>
      <c r="D18" s="4">
        <v>918</v>
      </c>
      <c r="E18" s="4">
        <v>604</v>
      </c>
      <c r="F18" s="4">
        <v>1470</v>
      </c>
      <c r="G18" s="4">
        <v>606</v>
      </c>
      <c r="I18" s="15" t="s">
        <v>102</v>
      </c>
      <c r="J18" s="16">
        <v>9056</v>
      </c>
      <c r="K18" s="16">
        <v>7308</v>
      </c>
      <c r="L18" s="16">
        <v>14217</v>
      </c>
      <c r="M18" s="16">
        <v>23175</v>
      </c>
      <c r="N18" s="16">
        <v>15203</v>
      </c>
      <c r="O18" s="16">
        <v>11155</v>
      </c>
      <c r="Q18" t="s">
        <v>101</v>
      </c>
      <c r="R18" s="4">
        <v>10675</v>
      </c>
      <c r="S18" s="4">
        <v>10219</v>
      </c>
      <c r="T18" s="4">
        <v>15372</v>
      </c>
      <c r="U18" s="4">
        <v>12831</v>
      </c>
      <c r="V18" s="4">
        <v>13348</v>
      </c>
      <c r="W18" s="4">
        <v>13659</v>
      </c>
      <c r="Y18" t="s">
        <v>101</v>
      </c>
      <c r="Z18" s="4">
        <v>10675</v>
      </c>
      <c r="AA18" s="4">
        <v>10219</v>
      </c>
      <c r="AB18" s="4">
        <v>15372</v>
      </c>
      <c r="AC18" s="4">
        <v>12831</v>
      </c>
      <c r="AD18" s="4">
        <v>13348</v>
      </c>
      <c r="AE18" s="4">
        <v>13659</v>
      </c>
      <c r="AF18" s="13">
        <f>AF60*'Income statement'!P12</f>
        <v>20565.547805993912</v>
      </c>
      <c r="AG18" s="13">
        <f>AG60*'Income statement'!Q12</f>
        <v>16131.226007488327</v>
      </c>
      <c r="AH18" s="13">
        <f>AH60*'Income statement'!R12</f>
        <v>17557.565991308351</v>
      </c>
      <c r="AI18" s="13">
        <f>AI60*'Income statement'!S12</f>
        <v>18154.523235012835</v>
      </c>
      <c r="AJ18" s="13">
        <f>AJ60*'Income statement'!T12</f>
        <v>19710.365876253432</v>
      </c>
      <c r="AK18" s="13">
        <f>AK60*'Income statement'!U12</f>
        <v>18809.32057905327</v>
      </c>
      <c r="AL18" s="13">
        <f>AL60*'Income statement'!V12</f>
        <v>18846.939220211381</v>
      </c>
    </row>
    <row r="19" spans="1:38" x14ac:dyDescent="0.35">
      <c r="A19" t="s">
        <v>94</v>
      </c>
      <c r="B19" s="4">
        <v>6651</v>
      </c>
      <c r="C19" s="4">
        <v>6637</v>
      </c>
      <c r="D19" s="4">
        <v>6537</v>
      </c>
      <c r="E19" s="4">
        <v>9118</v>
      </c>
      <c r="F19" s="4">
        <v>8752</v>
      </c>
      <c r="G19" s="4">
        <v>4410</v>
      </c>
      <c r="I19" s="1" t="s">
        <v>113</v>
      </c>
      <c r="J19" s="5">
        <f>SUM(J14:J18)</f>
        <v>28769</v>
      </c>
      <c r="K19" s="5">
        <f t="shared" ref="K19:N19" si="11">SUM(K14:K18)</f>
        <v>26485</v>
      </c>
      <c r="L19" s="5">
        <f t="shared" si="11"/>
        <v>30062</v>
      </c>
      <c r="M19" s="5">
        <f t="shared" si="11"/>
        <v>39809</v>
      </c>
      <c r="N19" s="5">
        <f t="shared" si="11"/>
        <v>31716</v>
      </c>
      <c r="O19" s="5">
        <f>SUM(O14:O18)</f>
        <v>29915</v>
      </c>
      <c r="Q19" s="20" t="s">
        <v>108</v>
      </c>
      <c r="R19" s="4">
        <f>-J42</f>
        <v>-2825</v>
      </c>
      <c r="S19" s="4">
        <f t="shared" ref="S19:W19" si="12">-K42</f>
        <v>-4764</v>
      </c>
      <c r="T19" s="4">
        <f t="shared" si="12"/>
        <v>-4010</v>
      </c>
      <c r="U19" s="4">
        <f t="shared" si="12"/>
        <v>-7391</v>
      </c>
      <c r="V19" s="4">
        <f t="shared" si="12"/>
        <v>-7109</v>
      </c>
      <c r="W19" s="4">
        <f t="shared" si="12"/>
        <v>-3412</v>
      </c>
      <c r="Y19" s="20" t="s">
        <v>108</v>
      </c>
      <c r="Z19" s="4">
        <f>R19</f>
        <v>-2825</v>
      </c>
      <c r="AA19" s="4">
        <f t="shared" ref="AA19:AE19" si="13">S19</f>
        <v>-4764</v>
      </c>
      <c r="AB19" s="4">
        <f t="shared" si="13"/>
        <v>-4010</v>
      </c>
      <c r="AC19" s="4">
        <f t="shared" si="13"/>
        <v>-7391</v>
      </c>
      <c r="AD19" s="4">
        <f t="shared" si="13"/>
        <v>-7109</v>
      </c>
      <c r="AE19" s="4">
        <f t="shared" si="13"/>
        <v>-3412</v>
      </c>
      <c r="AF19" s="4">
        <f>AF63*-'Income statement'!P23</f>
        <v>-7904.5749054906582</v>
      </c>
      <c r="AG19" s="4">
        <f>AG63*-'Income statement'!Q23</f>
        <v>-6136.2996356322528</v>
      </c>
      <c r="AH19" s="4">
        <f>AH63*-'Income statement'!R23</f>
        <v>-6959.4089902218229</v>
      </c>
      <c r="AI19" s="4">
        <f>AI63*-'Income statement'!S23</f>
        <v>-7238.5596470937762</v>
      </c>
      <c r="AJ19" s="4">
        <f>AJ63*-'Income statement'!T23</f>
        <v>-8070.7179676219412</v>
      </c>
      <c r="AK19" s="4">
        <f>AK63*-'Income statement'!U23</f>
        <v>-7477.0471409181591</v>
      </c>
      <c r="AL19" s="4">
        <f>AL63*-'Income statement'!V23</f>
        <v>-7488.0026946089847</v>
      </c>
    </row>
    <row r="20" spans="1:38" x14ac:dyDescent="0.35">
      <c r="A20" t="s">
        <v>102</v>
      </c>
      <c r="B20" s="4">
        <v>9056</v>
      </c>
      <c r="C20" s="4">
        <v>7308</v>
      </c>
      <c r="D20" s="4">
        <v>14217</v>
      </c>
      <c r="E20" s="4">
        <v>23175</v>
      </c>
      <c r="F20" s="4">
        <v>15203</v>
      </c>
      <c r="G20" s="4">
        <v>11155</v>
      </c>
      <c r="I20" t="s">
        <v>100</v>
      </c>
      <c r="J20" s="4">
        <v>1044</v>
      </c>
      <c r="K20" s="4">
        <v>2653</v>
      </c>
      <c r="L20" s="4">
        <v>2871</v>
      </c>
      <c r="M20" s="4">
        <v>6316</v>
      </c>
      <c r="N20" s="4">
        <v>4468</v>
      </c>
      <c r="O20" s="4">
        <v>6363</v>
      </c>
      <c r="Q20" s="20" t="s">
        <v>127</v>
      </c>
      <c r="R20" s="4">
        <f>-J43</f>
        <v>0</v>
      </c>
      <c r="S20" s="4">
        <f t="shared" ref="S20:W20" si="14">-K43</f>
        <v>0</v>
      </c>
      <c r="T20" s="4">
        <f t="shared" si="14"/>
        <v>-9086</v>
      </c>
      <c r="U20" s="4">
        <f t="shared" si="14"/>
        <v>-9742</v>
      </c>
      <c r="V20" s="4">
        <f t="shared" si="14"/>
        <v>0</v>
      </c>
      <c r="W20" s="4">
        <f t="shared" si="14"/>
        <v>0</v>
      </c>
      <c r="Y20" s="20" t="s">
        <v>127</v>
      </c>
      <c r="Z20" s="4">
        <f t="shared" ref="Z20:Z22" si="15">R20</f>
        <v>0</v>
      </c>
      <c r="AA20" s="4">
        <f t="shared" ref="AA20:AE20" si="16">S20</f>
        <v>0</v>
      </c>
      <c r="AB20" s="4">
        <f t="shared" si="16"/>
        <v>-9086</v>
      </c>
      <c r="AC20" s="4">
        <f t="shared" si="16"/>
        <v>-9742</v>
      </c>
      <c r="AD20" s="4">
        <f t="shared" si="16"/>
        <v>0</v>
      </c>
      <c r="AE20" s="4">
        <f t="shared" si="16"/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</row>
    <row r="21" spans="1:38" x14ac:dyDescent="0.35">
      <c r="A21" s="1" t="s">
        <v>29</v>
      </c>
      <c r="B21" s="5">
        <v>27939</v>
      </c>
      <c r="C21" s="5">
        <v>27349</v>
      </c>
      <c r="D21" s="5">
        <v>39914</v>
      </c>
      <c r="E21" s="5">
        <v>52044</v>
      </c>
      <c r="F21" s="5">
        <v>43242</v>
      </c>
      <c r="G21" s="5">
        <v>36193</v>
      </c>
      <c r="I21" s="15" t="s">
        <v>101</v>
      </c>
      <c r="J21" s="16">
        <v>10675</v>
      </c>
      <c r="K21" s="16">
        <v>10219</v>
      </c>
      <c r="L21" s="16">
        <v>15372</v>
      </c>
      <c r="M21" s="16">
        <v>12831</v>
      </c>
      <c r="N21" s="16">
        <v>13348</v>
      </c>
      <c r="O21" s="16">
        <v>13659</v>
      </c>
      <c r="Q21" s="20" t="s">
        <v>109</v>
      </c>
      <c r="R21" s="4">
        <f>-J44</f>
        <v>-10781</v>
      </c>
      <c r="S21" s="4">
        <f t="shared" ref="S21:W21" si="17">-K44</f>
        <v>-11918</v>
      </c>
      <c r="T21" s="4">
        <f t="shared" si="17"/>
        <v>-593</v>
      </c>
      <c r="U21" s="4">
        <f t="shared" si="17"/>
        <v>-503</v>
      </c>
      <c r="V21" s="4">
        <f t="shared" si="17"/>
        <v>-10049</v>
      </c>
      <c r="W21" s="4">
        <f t="shared" si="17"/>
        <v>-10115</v>
      </c>
      <c r="Y21" s="20" t="s">
        <v>109</v>
      </c>
      <c r="Z21" s="4">
        <f t="shared" si="15"/>
        <v>-10781</v>
      </c>
      <c r="AA21" s="4">
        <f t="shared" ref="AA21" si="18">S21</f>
        <v>-11918</v>
      </c>
      <c r="AB21" s="4">
        <f t="shared" ref="AB21" si="19">T21</f>
        <v>-593</v>
      </c>
      <c r="AC21" s="4">
        <f t="shared" ref="AC21" si="20">U21</f>
        <v>-503</v>
      </c>
      <c r="AD21" s="4">
        <f t="shared" ref="AD21" si="21">V21</f>
        <v>-10049</v>
      </c>
      <c r="AE21" s="4">
        <f t="shared" ref="AE21" si="22">W21</f>
        <v>-10115</v>
      </c>
      <c r="AF21" s="4">
        <f>'Income statement'!P12*Balance!AF64</f>
        <v>-17401.617374302539</v>
      </c>
      <c r="AG21" s="4">
        <f>'Income statement'!Q12*Balance!AG64</f>
        <v>-13649.498929413199</v>
      </c>
      <c r="AH21" s="4">
        <f>'Income statement'!R12*Balance!AH64</f>
        <v>-14856.401992645526</v>
      </c>
      <c r="AI21" s="4">
        <f>'Income statement'!S12*Balance!AI64</f>
        <v>-15361.519660395474</v>
      </c>
      <c r="AJ21" s="4">
        <f>'Income statement'!T12*Balance!AJ64</f>
        <v>-16678.001895291367</v>
      </c>
      <c r="AK21" s="4">
        <f>'Income statement'!U12*Balance!AK64</f>
        <v>-15915.578951506614</v>
      </c>
      <c r="AL21" s="4">
        <f>'Income statement'!V12*Balance!AL64</f>
        <v>-15947.41010940963</v>
      </c>
    </row>
    <row r="22" spans="1:38" x14ac:dyDescent="0.35">
      <c r="A22" s="1" t="s">
        <v>30</v>
      </c>
      <c r="B22" s="5">
        <v>176905</v>
      </c>
      <c r="C22" s="5">
        <v>166630</v>
      </c>
      <c r="D22" s="5">
        <v>169183</v>
      </c>
      <c r="E22" s="5">
        <v>182388</v>
      </c>
      <c r="F22" s="5">
        <v>177548</v>
      </c>
      <c r="G22" s="5">
        <v>181257</v>
      </c>
      <c r="H22" s="4"/>
      <c r="I22" s="1" t="s">
        <v>114</v>
      </c>
      <c r="J22" s="5">
        <f>SUM(J20:J21)</f>
        <v>11719</v>
      </c>
      <c r="K22" s="5">
        <f t="shared" ref="K22:O22" si="23">SUM(K20:K21)</f>
        <v>12872</v>
      </c>
      <c r="L22" s="5">
        <f t="shared" si="23"/>
        <v>18243</v>
      </c>
      <c r="M22" s="5">
        <f t="shared" si="23"/>
        <v>19147</v>
      </c>
      <c r="N22" s="5">
        <f t="shared" si="23"/>
        <v>17816</v>
      </c>
      <c r="O22" s="5">
        <f t="shared" si="23"/>
        <v>20022</v>
      </c>
      <c r="Q22" s="21" t="s">
        <v>126</v>
      </c>
      <c r="R22" s="15">
        <f>-J45</f>
        <v>0</v>
      </c>
      <c r="S22" s="15">
        <f t="shared" ref="S22:W22" si="24">-K45</f>
        <v>0</v>
      </c>
      <c r="T22" s="15">
        <f t="shared" si="24"/>
        <v>0</v>
      </c>
      <c r="U22" s="15">
        <f t="shared" si="24"/>
        <v>0</v>
      </c>
      <c r="V22" s="15">
        <f t="shared" si="24"/>
        <v>0</v>
      </c>
      <c r="W22" s="15">
        <f t="shared" si="24"/>
        <v>-316</v>
      </c>
      <c r="Y22" s="21" t="s">
        <v>126</v>
      </c>
      <c r="Z22" s="16">
        <f t="shared" si="15"/>
        <v>0</v>
      </c>
      <c r="AA22" s="16">
        <f t="shared" ref="AA22" si="25">S22</f>
        <v>0</v>
      </c>
      <c r="AB22" s="16">
        <f t="shared" ref="AB22" si="26">T22</f>
        <v>0</v>
      </c>
      <c r="AC22" s="16">
        <f t="shared" ref="AC22" si="27">U22</f>
        <v>0</v>
      </c>
      <c r="AD22" s="16">
        <f t="shared" ref="AD22" si="28">V22</f>
        <v>0</v>
      </c>
      <c r="AE22" s="16">
        <f t="shared" ref="AE22" si="29">W22</f>
        <v>-316</v>
      </c>
      <c r="AF22" s="15">
        <v>0</v>
      </c>
      <c r="AG22" s="15">
        <v>0</v>
      </c>
      <c r="AH22" s="15">
        <v>0</v>
      </c>
      <c r="AI22" s="15">
        <v>0</v>
      </c>
      <c r="AJ22" s="15">
        <v>0</v>
      </c>
      <c r="AK22" s="15">
        <v>0</v>
      </c>
      <c r="AL22" s="15">
        <v>0</v>
      </c>
    </row>
    <row r="23" spans="1:38" x14ac:dyDescent="0.35">
      <c r="B23" s="4"/>
      <c r="C23" s="4"/>
      <c r="D23" s="4"/>
      <c r="E23" s="4"/>
      <c r="F23" s="4"/>
      <c r="G23" s="4"/>
      <c r="Q23" s="23" t="s">
        <v>128</v>
      </c>
      <c r="R23" s="24">
        <f>SUM(R17:R22)</f>
        <v>-1887</v>
      </c>
      <c r="S23" s="24">
        <f t="shared" ref="S23:W23" si="30">SUM(S17:S22)</f>
        <v>-3810</v>
      </c>
      <c r="T23" s="24">
        <f t="shared" si="30"/>
        <v>4554</v>
      </c>
      <c r="U23" s="24">
        <f t="shared" si="30"/>
        <v>1511</v>
      </c>
      <c r="V23" s="24">
        <f t="shared" si="30"/>
        <v>658</v>
      </c>
      <c r="W23" s="24">
        <f t="shared" si="30"/>
        <v>6179</v>
      </c>
      <c r="Y23" s="23" t="s">
        <v>128</v>
      </c>
      <c r="Z23" s="24">
        <f>SUM(Z17:Z22)</f>
        <v>-1887</v>
      </c>
      <c r="AA23" s="24">
        <f t="shared" ref="AA23:AE23" si="31">SUM(AA17:AA22)</f>
        <v>-3810</v>
      </c>
      <c r="AB23" s="24">
        <f t="shared" si="31"/>
        <v>4554</v>
      </c>
      <c r="AC23" s="24">
        <f t="shared" si="31"/>
        <v>1511</v>
      </c>
      <c r="AD23" s="24">
        <f t="shared" si="31"/>
        <v>658</v>
      </c>
      <c r="AE23" s="24">
        <f t="shared" si="31"/>
        <v>6179</v>
      </c>
      <c r="AF23" s="24">
        <f>AF17+AF18+AF19+AF20+AF21+AF22</f>
        <v>1587.2163895834565</v>
      </c>
      <c r="AG23" s="24">
        <f t="shared" ref="AG23:AL23" si="32">AG17+AG18+AG19+AG20+AG21+AG22</f>
        <v>1308.8815985931305</v>
      </c>
      <c r="AH23" s="24">
        <f t="shared" si="32"/>
        <v>1144.0830057666499</v>
      </c>
      <c r="AI23" s="24">
        <f t="shared" si="32"/>
        <v>1140.451076758307</v>
      </c>
      <c r="AJ23" s="24">
        <f t="shared" si="32"/>
        <v>1026.3739752642578</v>
      </c>
      <c r="AK23" s="24">
        <f t="shared" si="32"/>
        <v>1204.1777417218109</v>
      </c>
      <c r="AL23" s="24">
        <f t="shared" si="32"/>
        <v>1210.5846377962698</v>
      </c>
    </row>
    <row r="24" spans="1:38" x14ac:dyDescent="0.35">
      <c r="A24" t="s">
        <v>31</v>
      </c>
      <c r="B24" s="4"/>
      <c r="C24" s="4"/>
      <c r="D24" s="4"/>
      <c r="E24" s="4"/>
      <c r="F24" s="4"/>
      <c r="G24" s="4"/>
      <c r="I24" s="1" t="s">
        <v>115</v>
      </c>
      <c r="J24" s="5">
        <f>J13+J19+J22</f>
        <v>176905</v>
      </c>
      <c r="K24" s="5">
        <f t="shared" ref="K24:O24" si="33">K13+K19+K22</f>
        <v>166631</v>
      </c>
      <c r="L24" s="5">
        <f t="shared" si="33"/>
        <v>169183</v>
      </c>
      <c r="M24" s="5">
        <f t="shared" si="33"/>
        <v>182390</v>
      </c>
      <c r="N24" s="5">
        <f t="shared" si="33"/>
        <v>177548</v>
      </c>
      <c r="O24" s="5">
        <f t="shared" si="33"/>
        <v>181257</v>
      </c>
      <c r="Q24" s="22" t="s">
        <v>129</v>
      </c>
      <c r="R24" s="5">
        <f>R16+R23</f>
        <v>115426</v>
      </c>
      <c r="S24" s="5">
        <f t="shared" ref="S24:W24" si="34">S16+S23</f>
        <v>106516</v>
      </c>
      <c r="T24" s="5">
        <f t="shared" si="34"/>
        <v>112221</v>
      </c>
      <c r="U24" s="5">
        <f t="shared" si="34"/>
        <v>111927</v>
      </c>
      <c r="V24" s="5">
        <f t="shared" si="34"/>
        <v>114851</v>
      </c>
      <c r="W24" s="5">
        <f t="shared" si="34"/>
        <v>119327</v>
      </c>
      <c r="Y24" s="22" t="s">
        <v>135</v>
      </c>
      <c r="Z24" s="5">
        <f>Z16+Z23</f>
        <v>115426</v>
      </c>
      <c r="AA24" s="5">
        <f t="shared" ref="AA24:AE24" si="35">AA16+AA23</f>
        <v>106516</v>
      </c>
      <c r="AB24" s="5">
        <f t="shared" si="35"/>
        <v>112221</v>
      </c>
      <c r="AC24" s="5">
        <f t="shared" si="35"/>
        <v>111927</v>
      </c>
      <c r="AD24" s="5">
        <f t="shared" si="35"/>
        <v>114851</v>
      </c>
      <c r="AE24" s="5">
        <f t="shared" si="35"/>
        <v>119327</v>
      </c>
      <c r="AF24" s="5">
        <f>AF16+AF23</f>
        <v>120592.07871274531</v>
      </c>
      <c r="AG24" s="5">
        <f t="shared" ref="AG24:AL24" si="36">AG16+AG23</f>
        <v>122082.94533887471</v>
      </c>
      <c r="AH24" s="5">
        <f t="shared" si="36"/>
        <v>123709.683688919</v>
      </c>
      <c r="AI24" s="5">
        <f t="shared" si="36"/>
        <v>125754.51523763928</v>
      </c>
      <c r="AJ24" s="5">
        <f t="shared" si="36"/>
        <v>128204.22078397287</v>
      </c>
      <c r="AK24" s="5">
        <f t="shared" si="36"/>
        <v>129137.31802624465</v>
      </c>
      <c r="AL24" s="5">
        <f t="shared" si="36"/>
        <v>129789.48371198146</v>
      </c>
    </row>
    <row r="25" spans="1:38" x14ac:dyDescent="0.35">
      <c r="A25" t="s">
        <v>87</v>
      </c>
      <c r="B25" s="4">
        <v>57111</v>
      </c>
      <c r="C25" s="4">
        <v>58411</v>
      </c>
      <c r="D25" s="4">
        <v>59219</v>
      </c>
      <c r="E25" s="4">
        <v>59219</v>
      </c>
      <c r="F25" s="4">
        <v>59219</v>
      </c>
      <c r="G25" s="4">
        <v>59219</v>
      </c>
    </row>
    <row r="26" spans="1:38" x14ac:dyDescent="0.35">
      <c r="A26" t="s">
        <v>88</v>
      </c>
      <c r="B26" s="4">
        <v>0</v>
      </c>
      <c r="C26" s="4">
        <v>0</v>
      </c>
      <c r="D26" s="4">
        <v>0</v>
      </c>
      <c r="E26" s="4">
        <v>0</v>
      </c>
      <c r="F26" s="4">
        <v>3627</v>
      </c>
      <c r="G26" s="4">
        <v>4733</v>
      </c>
      <c r="I26" t="s">
        <v>87</v>
      </c>
      <c r="J26" s="4">
        <v>57111</v>
      </c>
      <c r="K26" s="4">
        <v>58411</v>
      </c>
      <c r="L26" s="4">
        <v>59219</v>
      </c>
      <c r="M26" s="4">
        <v>59219</v>
      </c>
      <c r="N26" s="4">
        <v>59219</v>
      </c>
      <c r="O26" s="4">
        <v>59219</v>
      </c>
      <c r="Q26" t="s">
        <v>94</v>
      </c>
      <c r="R26" s="4">
        <v>4675</v>
      </c>
      <c r="S26" s="4">
        <v>3047</v>
      </c>
      <c r="T26" s="4">
        <v>4023</v>
      </c>
      <c r="U26" s="4">
        <v>2926</v>
      </c>
      <c r="V26" s="4">
        <v>2694</v>
      </c>
      <c r="W26" s="4">
        <v>7406</v>
      </c>
      <c r="Y26" t="s">
        <v>87</v>
      </c>
      <c r="Z26" s="4">
        <v>57111</v>
      </c>
      <c r="AA26" s="4">
        <v>58411</v>
      </c>
      <c r="AB26" s="4">
        <v>59219</v>
      </c>
      <c r="AC26" s="4">
        <v>59219</v>
      </c>
      <c r="AD26" s="4">
        <v>59219</v>
      </c>
      <c r="AE26" s="4">
        <v>59219</v>
      </c>
      <c r="AF26" s="4">
        <v>59219</v>
      </c>
      <c r="AG26" s="4">
        <v>59219</v>
      </c>
      <c r="AH26" s="4">
        <v>59219</v>
      </c>
      <c r="AI26" s="4">
        <v>59219</v>
      </c>
      <c r="AJ26" s="4">
        <v>59219</v>
      </c>
      <c r="AK26" s="4">
        <v>59219</v>
      </c>
      <c r="AL26" s="4">
        <v>59219</v>
      </c>
    </row>
    <row r="27" spans="1:38" x14ac:dyDescent="0.35">
      <c r="A27" t="s">
        <v>89</v>
      </c>
      <c r="B27" s="4">
        <v>22787</v>
      </c>
      <c r="C27" s="4">
        <v>17360</v>
      </c>
      <c r="D27" s="4">
        <v>28966</v>
      </c>
      <c r="E27" s="4">
        <v>34815</v>
      </c>
      <c r="F27" s="4">
        <v>33537</v>
      </c>
      <c r="G27" s="4">
        <v>29888</v>
      </c>
      <c r="I27" t="s">
        <v>88</v>
      </c>
      <c r="J27" s="4">
        <v>0</v>
      </c>
      <c r="K27" s="4">
        <v>0</v>
      </c>
      <c r="L27" s="4">
        <v>0</v>
      </c>
      <c r="M27" s="4">
        <v>0</v>
      </c>
      <c r="N27" s="4">
        <v>3627</v>
      </c>
      <c r="O27" s="4">
        <v>4733</v>
      </c>
      <c r="Q27" t="s">
        <v>105</v>
      </c>
      <c r="R27" s="4">
        <v>7874</v>
      </c>
      <c r="S27" s="4">
        <v>8961</v>
      </c>
      <c r="T27" s="4">
        <v>4367</v>
      </c>
      <c r="U27" s="4">
        <v>3986</v>
      </c>
      <c r="V27" s="4">
        <v>3597</v>
      </c>
      <c r="W27" s="4">
        <v>6338</v>
      </c>
      <c r="Y27" t="s">
        <v>88</v>
      </c>
      <c r="Z27" s="4">
        <v>0</v>
      </c>
      <c r="AA27" s="4">
        <v>0</v>
      </c>
      <c r="AB27" s="4">
        <v>0</v>
      </c>
      <c r="AC27" s="4">
        <v>0</v>
      </c>
      <c r="AD27" s="4">
        <v>3627</v>
      </c>
      <c r="AE27" s="4">
        <v>4733</v>
      </c>
      <c r="AF27" s="4">
        <v>4733</v>
      </c>
      <c r="AG27" s="4">
        <v>4733</v>
      </c>
      <c r="AH27" s="4">
        <v>4733</v>
      </c>
      <c r="AI27" s="4">
        <v>4733</v>
      </c>
      <c r="AJ27" s="4">
        <v>4733</v>
      </c>
      <c r="AK27" s="4">
        <v>4733</v>
      </c>
      <c r="AL27" s="4">
        <v>4733</v>
      </c>
    </row>
    <row r="28" spans="1:38" x14ac:dyDescent="0.35">
      <c r="A28" s="1" t="s">
        <v>32</v>
      </c>
      <c r="B28" s="5">
        <f>B25+B27</f>
        <v>79898</v>
      </c>
      <c r="C28" s="5">
        <v>75771</v>
      </c>
      <c r="D28" s="5">
        <v>88185</v>
      </c>
      <c r="E28" s="5">
        <v>94034</v>
      </c>
      <c r="F28" s="5">
        <v>96383</v>
      </c>
      <c r="G28" s="5">
        <v>93840</v>
      </c>
      <c r="I28" s="15" t="s">
        <v>89</v>
      </c>
      <c r="J28" s="16">
        <v>22787</v>
      </c>
      <c r="K28" s="16">
        <v>17360</v>
      </c>
      <c r="L28" s="16">
        <v>28966</v>
      </c>
      <c r="M28" s="16">
        <v>34815</v>
      </c>
      <c r="N28" s="16">
        <v>33537</v>
      </c>
      <c r="O28" s="16">
        <v>29888</v>
      </c>
      <c r="Q28" t="s">
        <v>95</v>
      </c>
      <c r="R28" s="4">
        <v>513</v>
      </c>
      <c r="S28" s="4">
        <v>532</v>
      </c>
      <c r="T28" s="4">
        <v>918</v>
      </c>
      <c r="U28" s="4">
        <v>604</v>
      </c>
      <c r="V28" s="4">
        <v>1470</v>
      </c>
      <c r="W28" s="4">
        <v>606</v>
      </c>
      <c r="Y28" s="15" t="s">
        <v>89</v>
      </c>
      <c r="Z28" s="16">
        <v>22787</v>
      </c>
      <c r="AA28" s="16">
        <v>17360</v>
      </c>
      <c r="AB28" s="16">
        <v>28966</v>
      </c>
      <c r="AC28" s="16">
        <v>34815</v>
      </c>
      <c r="AD28" s="16">
        <v>33537</v>
      </c>
      <c r="AE28" s="16">
        <v>29888</v>
      </c>
      <c r="AF28" s="16">
        <f>AE28+'Income statement'!P35-Balance!AF58</f>
        <v>32171.433489456715</v>
      </c>
      <c r="AG28" s="16">
        <f>AF28+'Income statement'!Q35-Balance!AG58</f>
        <v>33679.846656799687</v>
      </c>
      <c r="AH28" s="16">
        <f>AG28+'Income statement'!R35-Balance!AH58</f>
        <v>35383.113883679296</v>
      </c>
      <c r="AI28" s="16">
        <f>AH28+'Income statement'!S35-Balance!AI58</f>
        <v>37152.729131394641</v>
      </c>
      <c r="AJ28" s="16">
        <f>AI28+'Income statement'!T35-Balance!AJ58</f>
        <v>39120.261913101051</v>
      </c>
      <c r="AK28" s="16">
        <f>AJ28+'Income statement'!U35-Balance!AK58</f>
        <v>40491.472460392804</v>
      </c>
      <c r="AL28" s="16">
        <f>AK28+'Income statement'!V35-Balance!AL58</f>
        <v>41864.085372026115</v>
      </c>
    </row>
    <row r="29" spans="1:38" x14ac:dyDescent="0.35">
      <c r="A29" t="s">
        <v>90</v>
      </c>
      <c r="B29" s="4">
        <v>8443</v>
      </c>
      <c r="C29" s="4">
        <v>7747</v>
      </c>
      <c r="D29" s="4">
        <v>3591</v>
      </c>
      <c r="E29" s="4">
        <v>3970</v>
      </c>
      <c r="F29" s="4">
        <v>4382</v>
      </c>
      <c r="G29" s="4">
        <v>4188</v>
      </c>
      <c r="I29" s="1" t="s">
        <v>32</v>
      </c>
      <c r="J29" s="5">
        <f>J26+J28</f>
        <v>79898</v>
      </c>
      <c r="K29" s="5">
        <v>75771</v>
      </c>
      <c r="L29" s="5">
        <v>88185</v>
      </c>
      <c r="M29" s="5">
        <v>94034</v>
      </c>
      <c r="N29" s="5">
        <v>96383</v>
      </c>
      <c r="O29" s="5">
        <v>93840</v>
      </c>
      <c r="Q29" t="s">
        <v>94</v>
      </c>
      <c r="R29" s="4">
        <v>6651</v>
      </c>
      <c r="S29" s="4">
        <v>6637</v>
      </c>
      <c r="T29" s="4">
        <v>6537</v>
      </c>
      <c r="U29" s="4">
        <v>9118</v>
      </c>
      <c r="V29" s="4">
        <v>8752</v>
      </c>
      <c r="W29" s="4">
        <v>4410</v>
      </c>
      <c r="Y29" s="1" t="s">
        <v>32</v>
      </c>
      <c r="Z29" s="5">
        <f>Z26+Z28</f>
        <v>79898</v>
      </c>
      <c r="AA29" s="5">
        <v>75771</v>
      </c>
      <c r="AB29" s="5">
        <v>88185</v>
      </c>
      <c r="AC29" s="5">
        <v>94034</v>
      </c>
      <c r="AD29" s="5">
        <v>96383</v>
      </c>
      <c r="AE29" s="5">
        <v>93840</v>
      </c>
      <c r="AF29" s="5">
        <f>AF26+AF27+AF28</f>
        <v>96123.433489456715</v>
      </c>
      <c r="AG29" s="5">
        <f t="shared" ref="AG29:AL29" si="37">AG26+AG27+AG28</f>
        <v>97631.846656799695</v>
      </c>
      <c r="AH29" s="5">
        <f t="shared" si="37"/>
        <v>99335.113883679296</v>
      </c>
      <c r="AI29" s="5">
        <f t="shared" si="37"/>
        <v>101104.72913139465</v>
      </c>
      <c r="AJ29" s="5">
        <f t="shared" si="37"/>
        <v>103072.26191310104</v>
      </c>
      <c r="AK29" s="5">
        <f t="shared" si="37"/>
        <v>104443.4724603928</v>
      </c>
      <c r="AL29" s="5">
        <f t="shared" si="37"/>
        <v>105816.08537202611</v>
      </c>
    </row>
    <row r="30" spans="1:38" x14ac:dyDescent="0.35">
      <c r="A30" s="1" t="s">
        <v>33</v>
      </c>
      <c r="B30" s="5">
        <v>88340</v>
      </c>
      <c r="C30" s="5">
        <v>83519</v>
      </c>
      <c r="D30" s="5">
        <v>91776</v>
      </c>
      <c r="E30" s="5">
        <v>98004</v>
      </c>
      <c r="F30" s="5">
        <v>100764</v>
      </c>
      <c r="G30" s="5">
        <v>98028</v>
      </c>
      <c r="I30" s="15" t="s">
        <v>90</v>
      </c>
      <c r="J30" s="16">
        <v>8443</v>
      </c>
      <c r="K30" s="16">
        <v>7747</v>
      </c>
      <c r="L30" s="16">
        <v>3591</v>
      </c>
      <c r="M30" s="16">
        <v>3970</v>
      </c>
      <c r="N30" s="16">
        <v>4382</v>
      </c>
      <c r="O30" s="16">
        <v>4188</v>
      </c>
      <c r="Q30" s="15" t="s">
        <v>102</v>
      </c>
      <c r="R30" s="16">
        <v>9056</v>
      </c>
      <c r="S30" s="16">
        <v>7308</v>
      </c>
      <c r="T30" s="16">
        <v>14217</v>
      </c>
      <c r="U30" s="16">
        <v>23175</v>
      </c>
      <c r="V30" s="16">
        <v>15203</v>
      </c>
      <c r="W30" s="16">
        <v>11155</v>
      </c>
      <c r="Y30" s="15" t="s">
        <v>90</v>
      </c>
      <c r="Z30" s="16">
        <v>8443</v>
      </c>
      <c r="AA30" s="16">
        <v>7747</v>
      </c>
      <c r="AB30" s="16">
        <v>3591</v>
      </c>
      <c r="AC30" s="16">
        <v>3970</v>
      </c>
      <c r="AD30" s="16">
        <v>4382</v>
      </c>
      <c r="AE30" s="16">
        <v>4188</v>
      </c>
      <c r="AF30" s="16">
        <v>4188</v>
      </c>
      <c r="AG30" s="16">
        <v>4188</v>
      </c>
      <c r="AH30" s="16">
        <v>4188</v>
      </c>
      <c r="AI30" s="16">
        <v>4188</v>
      </c>
      <c r="AJ30" s="16">
        <v>4188</v>
      </c>
      <c r="AK30" s="16">
        <v>4188</v>
      </c>
      <c r="AL30" s="16">
        <v>4188</v>
      </c>
    </row>
    <row r="31" spans="1:38" x14ac:dyDescent="0.35">
      <c r="A31" t="s">
        <v>103</v>
      </c>
      <c r="B31" s="4">
        <v>9435</v>
      </c>
      <c r="C31" s="18">
        <v>9446</v>
      </c>
      <c r="D31" s="4">
        <v>9814</v>
      </c>
      <c r="E31" s="4">
        <v>9826</v>
      </c>
      <c r="F31" s="4">
        <v>10792</v>
      </c>
      <c r="G31" s="4">
        <v>10596</v>
      </c>
      <c r="I31" s="1" t="s">
        <v>33</v>
      </c>
      <c r="J31" s="5">
        <v>88340</v>
      </c>
      <c r="K31" s="5">
        <v>83519</v>
      </c>
      <c r="L31" s="5">
        <v>91776</v>
      </c>
      <c r="M31" s="5">
        <v>98004</v>
      </c>
      <c r="N31" s="5">
        <v>100764</v>
      </c>
      <c r="O31" s="5">
        <v>98028</v>
      </c>
      <c r="Q31" s="1" t="s">
        <v>113</v>
      </c>
      <c r="R31" s="5">
        <f>SUM(R26:R30)</f>
        <v>28769</v>
      </c>
      <c r="S31" s="5">
        <f t="shared" ref="S31:W31" si="38">SUM(S26:S30)</f>
        <v>26485</v>
      </c>
      <c r="T31" s="5">
        <f t="shared" si="38"/>
        <v>30062</v>
      </c>
      <c r="U31" s="5">
        <f t="shared" si="38"/>
        <v>39809</v>
      </c>
      <c r="V31" s="5">
        <f t="shared" si="38"/>
        <v>31716</v>
      </c>
      <c r="W31" s="5">
        <f t="shared" si="38"/>
        <v>29915</v>
      </c>
      <c r="Y31" s="1" t="s">
        <v>33</v>
      </c>
      <c r="Z31" s="5">
        <v>88340</v>
      </c>
      <c r="AA31" s="5">
        <v>83519</v>
      </c>
      <c r="AB31" s="5">
        <v>91776</v>
      </c>
      <c r="AC31" s="5">
        <v>98004</v>
      </c>
      <c r="AD31" s="5">
        <v>100764</v>
      </c>
      <c r="AE31" s="5">
        <v>98028</v>
      </c>
      <c r="AF31" s="5">
        <f>AF29+AF30</f>
        <v>100311.43348945671</v>
      </c>
      <c r="AG31" s="5">
        <f t="shared" ref="AG31:AL31" si="39">AG29+AG30</f>
        <v>101819.84665679969</v>
      </c>
      <c r="AH31" s="5">
        <f t="shared" si="39"/>
        <v>103523.1138836793</v>
      </c>
      <c r="AI31" s="5">
        <f t="shared" si="39"/>
        <v>105292.72913139465</v>
      </c>
      <c r="AJ31" s="5">
        <f t="shared" si="39"/>
        <v>107260.26191310104</v>
      </c>
      <c r="AK31" s="5">
        <f t="shared" si="39"/>
        <v>108631.4724603928</v>
      </c>
      <c r="AL31" s="5">
        <f t="shared" si="39"/>
        <v>110004.08537202611</v>
      </c>
    </row>
    <row r="32" spans="1:38" x14ac:dyDescent="0.35">
      <c r="A32" t="s">
        <v>104</v>
      </c>
      <c r="B32" s="4">
        <v>2125</v>
      </c>
      <c r="C32" s="18">
        <v>2247</v>
      </c>
      <c r="D32" s="4">
        <v>2539</v>
      </c>
      <c r="E32" s="4">
        <v>2655</v>
      </c>
      <c r="F32" s="4">
        <v>2685</v>
      </c>
      <c r="G32" s="4">
        <v>3357</v>
      </c>
      <c r="I32" t="s">
        <v>103</v>
      </c>
      <c r="J32" s="4">
        <v>9435</v>
      </c>
      <c r="K32" s="18">
        <v>9446</v>
      </c>
      <c r="L32" s="4">
        <v>9814</v>
      </c>
      <c r="M32" s="4">
        <v>9826</v>
      </c>
      <c r="N32" s="4">
        <v>10792</v>
      </c>
      <c r="O32" s="4">
        <v>10596</v>
      </c>
      <c r="Y32" t="s">
        <v>104</v>
      </c>
      <c r="Z32" s="4">
        <v>2125</v>
      </c>
      <c r="AA32" s="18">
        <v>2247</v>
      </c>
      <c r="AB32" s="4">
        <v>2539</v>
      </c>
      <c r="AC32" s="4">
        <v>2655</v>
      </c>
      <c r="AD32" s="4">
        <v>2685</v>
      </c>
      <c r="AE32" s="4">
        <v>3357</v>
      </c>
      <c r="AF32" s="4">
        <f>'Income statement'!P12*Balance!AF66</f>
        <v>4350.4043435756348</v>
      </c>
      <c r="AG32" s="4">
        <f>'Income statement'!Q12*Balance!AG66</f>
        <v>3412.3747323532998</v>
      </c>
      <c r="AH32" s="4">
        <f>'Income statement'!R12*Balance!AH66</f>
        <v>3714.1004981613814</v>
      </c>
      <c r="AI32" s="4">
        <f>'Income statement'!S12*Balance!AI66</f>
        <v>3840.3799150988684</v>
      </c>
      <c r="AJ32" s="4">
        <f>'Income statement'!T12*Balance!AJ66</f>
        <v>4169.5004738228417</v>
      </c>
      <c r="AK32" s="4">
        <f>'Income statement'!U12*Balance!AK66</f>
        <v>3978.8947378766534</v>
      </c>
      <c r="AL32" s="4">
        <f>'Income statement'!V12*Balance!AL66</f>
        <v>3986.8525273524074</v>
      </c>
    </row>
    <row r="33" spans="1:38" x14ac:dyDescent="0.35">
      <c r="A33" t="s">
        <v>107</v>
      </c>
      <c r="B33" s="4">
        <v>9166</v>
      </c>
      <c r="C33" s="18">
        <v>6936</v>
      </c>
      <c r="D33" s="4">
        <v>2799</v>
      </c>
      <c r="E33" s="4">
        <v>2552</v>
      </c>
      <c r="F33" s="4">
        <v>0</v>
      </c>
      <c r="G33" s="4">
        <v>0</v>
      </c>
      <c r="I33" t="s">
        <v>106</v>
      </c>
      <c r="J33" s="4">
        <f>B36+B33+1</f>
        <v>9669</v>
      </c>
      <c r="K33" s="4">
        <f>C36+C33</f>
        <v>7502</v>
      </c>
      <c r="L33" s="4">
        <f>D36+D33</f>
        <v>3397</v>
      </c>
      <c r="M33" s="4">
        <f>E36+E33+3</f>
        <v>3192</v>
      </c>
      <c r="N33" s="4">
        <f>3033-2</f>
        <v>3031</v>
      </c>
      <c r="O33" s="4">
        <f>3207+2</f>
        <v>3209</v>
      </c>
      <c r="Q33" s="1" t="s">
        <v>130</v>
      </c>
      <c r="R33" s="5">
        <f>R24+R31</f>
        <v>144195</v>
      </c>
      <c r="S33" s="5">
        <f t="shared" ref="S33:W33" si="40">S24+S31</f>
        <v>133001</v>
      </c>
      <c r="T33" s="5">
        <f t="shared" si="40"/>
        <v>142283</v>
      </c>
      <c r="U33" s="5">
        <f t="shared" si="40"/>
        <v>151736</v>
      </c>
      <c r="V33" s="5">
        <f t="shared" si="40"/>
        <v>146567</v>
      </c>
      <c r="W33" s="5">
        <f t="shared" si="40"/>
        <v>149242</v>
      </c>
      <c r="Y33" t="s">
        <v>94</v>
      </c>
      <c r="Z33" s="4">
        <v>3736</v>
      </c>
      <c r="AA33" s="4">
        <v>1805</v>
      </c>
      <c r="AB33" s="4">
        <v>1101</v>
      </c>
      <c r="AC33" s="4">
        <v>1253</v>
      </c>
      <c r="AD33" s="4">
        <v>983</v>
      </c>
      <c r="AE33" s="4">
        <v>7778</v>
      </c>
      <c r="AF33" s="4">
        <f>'Income statement'!P12*Balance!AF67</f>
        <v>3163.9304316913708</v>
      </c>
      <c r="AG33" s="4">
        <f>'Income statement'!Q12*Balance!AG67</f>
        <v>2481.7270780751273</v>
      </c>
      <c r="AH33" s="4">
        <f>'Income statement'!R12*Balance!AH67</f>
        <v>2701.1639986628229</v>
      </c>
      <c r="AI33" s="4">
        <f>'Income statement'!S12*Balance!AI67</f>
        <v>2793.0035746173589</v>
      </c>
      <c r="AJ33" s="4">
        <f>'Income statement'!T12*Balance!AJ67</f>
        <v>3032.3639809620668</v>
      </c>
      <c r="AK33" s="4">
        <f>'Income statement'!U12*Balance!AK67</f>
        <v>2893.7416275466571</v>
      </c>
      <c r="AL33" s="4">
        <f>'Income statement'!V12*Balance!AL67</f>
        <v>2899.5291108017509</v>
      </c>
    </row>
    <row r="34" spans="1:38" x14ac:dyDescent="0.35">
      <c r="A34" t="s">
        <v>110</v>
      </c>
      <c r="B34" s="4">
        <v>37410</v>
      </c>
      <c r="C34" s="4">
        <v>31886</v>
      </c>
      <c r="D34" s="4">
        <v>36285</v>
      </c>
      <c r="E34" s="4">
        <v>30354</v>
      </c>
      <c r="F34" s="4">
        <v>28160</v>
      </c>
      <c r="G34" s="4">
        <v>32664</v>
      </c>
      <c r="I34" s="15" t="s">
        <v>117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4367</v>
      </c>
      <c r="Y34" t="s">
        <v>121</v>
      </c>
      <c r="Z34" s="4">
        <v>37410</v>
      </c>
      <c r="AA34" s="4">
        <v>31886</v>
      </c>
      <c r="AB34" s="4">
        <v>36285</v>
      </c>
      <c r="AC34" s="4">
        <v>30354</v>
      </c>
      <c r="AD34" s="4">
        <v>28160</v>
      </c>
      <c r="AE34" s="4">
        <v>28297</v>
      </c>
      <c r="AF34" s="4">
        <f>AE24*AF68</f>
        <v>34604.829999999994</v>
      </c>
      <c r="AG34" s="4">
        <f t="shared" ref="AG34:AL34" si="41">AF24*AG68</f>
        <v>34971.702826696135</v>
      </c>
      <c r="AH34" s="4">
        <f t="shared" si="41"/>
        <v>35404.054148273659</v>
      </c>
      <c r="AI34" s="4">
        <f t="shared" si="41"/>
        <v>35875.80826978651</v>
      </c>
      <c r="AJ34" s="4">
        <f t="shared" si="41"/>
        <v>36468.809418915385</v>
      </c>
      <c r="AK34" s="4">
        <f t="shared" si="41"/>
        <v>37179.224027352131</v>
      </c>
      <c r="AL34" s="4">
        <f t="shared" si="41"/>
        <v>37449.822227610945</v>
      </c>
    </row>
    <row r="35" spans="1:38" x14ac:dyDescent="0.35">
      <c r="A35" t="s">
        <v>94</v>
      </c>
      <c r="B35" s="4">
        <v>3736</v>
      </c>
      <c r="C35" s="4">
        <v>1805</v>
      </c>
      <c r="D35" s="4">
        <v>1101</v>
      </c>
      <c r="E35" s="4">
        <v>1253</v>
      </c>
      <c r="F35" s="4">
        <v>983</v>
      </c>
      <c r="G35" s="4">
        <v>7778</v>
      </c>
      <c r="I35" s="1" t="s">
        <v>116</v>
      </c>
      <c r="J35" s="5">
        <f>SUM(J32:J34)</f>
        <v>19104</v>
      </c>
      <c r="K35" s="5">
        <f t="shared" ref="K35:O35" si="42">SUM(K32:K34)</f>
        <v>16948</v>
      </c>
      <c r="L35" s="5">
        <f t="shared" si="42"/>
        <v>13211</v>
      </c>
      <c r="M35" s="5">
        <f t="shared" si="42"/>
        <v>13018</v>
      </c>
      <c r="N35" s="5">
        <f t="shared" si="42"/>
        <v>13823</v>
      </c>
      <c r="O35" s="5">
        <f t="shared" si="42"/>
        <v>18172</v>
      </c>
      <c r="Q35" t="s">
        <v>87</v>
      </c>
      <c r="R35" s="4">
        <v>57111</v>
      </c>
      <c r="S35" s="4">
        <v>58411</v>
      </c>
      <c r="T35" s="4">
        <v>59219</v>
      </c>
      <c r="U35" s="4">
        <v>59219</v>
      </c>
      <c r="V35" s="4">
        <v>59219</v>
      </c>
      <c r="W35" s="4">
        <v>59219</v>
      </c>
      <c r="Y35" t="s">
        <v>122</v>
      </c>
      <c r="Z35" s="4">
        <v>7196</v>
      </c>
      <c r="AA35" s="4">
        <v>8407</v>
      </c>
      <c r="AB35" s="4">
        <v>3694</v>
      </c>
      <c r="AC35" s="4">
        <v>6346</v>
      </c>
      <c r="AD35" s="4">
        <v>4479</v>
      </c>
      <c r="AE35" s="4">
        <v>6143</v>
      </c>
      <c r="AF35" s="4">
        <f>AE24*AF69</f>
        <v>5966.35</v>
      </c>
      <c r="AG35" s="4">
        <f t="shared" ref="AG35:AL35" si="43">AF24*AG69</f>
        <v>6029.6039356372657</v>
      </c>
      <c r="AH35" s="4">
        <f t="shared" si="43"/>
        <v>6104.1472669437353</v>
      </c>
      <c r="AI35" s="4">
        <f t="shared" si="43"/>
        <v>6185.4841844459506</v>
      </c>
      <c r="AJ35" s="4">
        <f t="shared" si="43"/>
        <v>6287.725761881964</v>
      </c>
      <c r="AK35" s="4">
        <f t="shared" si="43"/>
        <v>6410.2110391986434</v>
      </c>
      <c r="AL35" s="4">
        <f t="shared" si="43"/>
        <v>6456.8659013122333</v>
      </c>
    </row>
    <row r="36" spans="1:38" x14ac:dyDescent="0.35">
      <c r="A36" t="s">
        <v>106</v>
      </c>
      <c r="B36" s="4">
        <v>502</v>
      </c>
      <c r="C36" s="4">
        <v>566</v>
      </c>
      <c r="D36" s="4">
        <v>598</v>
      </c>
      <c r="E36" s="4">
        <v>637</v>
      </c>
      <c r="F36" s="4">
        <v>3033</v>
      </c>
      <c r="G36" s="4">
        <v>3207</v>
      </c>
      <c r="I36" t="s">
        <v>104</v>
      </c>
      <c r="J36" s="4">
        <v>2125</v>
      </c>
      <c r="K36" s="18">
        <v>2247</v>
      </c>
      <c r="L36" s="4">
        <v>2539</v>
      </c>
      <c r="M36" s="4">
        <v>2655</v>
      </c>
      <c r="N36" s="4">
        <v>2685</v>
      </c>
      <c r="O36" s="4">
        <v>3357</v>
      </c>
      <c r="Q36" t="s">
        <v>88</v>
      </c>
      <c r="R36" s="4">
        <v>0</v>
      </c>
      <c r="S36" s="4">
        <v>0</v>
      </c>
      <c r="T36" s="4">
        <v>0</v>
      </c>
      <c r="U36" s="4">
        <v>0</v>
      </c>
      <c r="V36" s="4">
        <v>3627</v>
      </c>
      <c r="W36" s="4">
        <v>4733</v>
      </c>
      <c r="Y36" t="s">
        <v>94</v>
      </c>
      <c r="Z36" s="4">
        <v>5388</v>
      </c>
      <c r="AA36" s="4">
        <v>5137</v>
      </c>
      <c r="AB36" s="4">
        <v>6888</v>
      </c>
      <c r="AC36" s="4">
        <v>13124</v>
      </c>
      <c r="AD36" s="4">
        <v>9496</v>
      </c>
      <c r="AE36" s="4">
        <v>5639</v>
      </c>
      <c r="AF36" s="4">
        <f>AF70*'Income statement'!P12</f>
        <v>11864.739118842641</v>
      </c>
      <c r="AG36" s="4">
        <f>AG70*'Income statement'!Q12</f>
        <v>9306.4765427817274</v>
      </c>
      <c r="AH36" s="4">
        <f>AH70*'Income statement'!R12</f>
        <v>10129.364994985586</v>
      </c>
      <c r="AI36" s="4">
        <f>AI70*'Income statement'!S12</f>
        <v>10473.763404815096</v>
      </c>
      <c r="AJ36" s="4">
        <f>AJ70*'Income statement'!T12</f>
        <v>11371.364928607749</v>
      </c>
      <c r="AK36" s="4">
        <f>AK70*'Income statement'!U12</f>
        <v>10851.531103299963</v>
      </c>
      <c r="AL36" s="4">
        <f>AL70*'Income statement'!V12</f>
        <v>10873.234165506565</v>
      </c>
    </row>
    <row r="37" spans="1:38" x14ac:dyDescent="0.35">
      <c r="A37" s="1" t="s">
        <v>34</v>
      </c>
      <c r="B37" s="5">
        <v>62374</v>
      </c>
      <c r="C37" s="5">
        <v>52885</v>
      </c>
      <c r="D37" s="5">
        <v>53136</v>
      </c>
      <c r="E37" s="5">
        <v>47277</v>
      </c>
      <c r="F37" s="5">
        <v>45653</v>
      </c>
      <c r="G37" s="5">
        <v>57604</v>
      </c>
      <c r="I37" t="s">
        <v>94</v>
      </c>
      <c r="J37" s="4">
        <v>3736</v>
      </c>
      <c r="K37" s="4">
        <v>1805</v>
      </c>
      <c r="L37" s="4">
        <v>1101</v>
      </c>
      <c r="M37" s="4">
        <v>1253</v>
      </c>
      <c r="N37" s="4">
        <v>983</v>
      </c>
      <c r="O37" s="4">
        <v>7778</v>
      </c>
      <c r="Q37" s="15" t="s">
        <v>89</v>
      </c>
      <c r="R37" s="16">
        <v>22787</v>
      </c>
      <c r="S37" s="16">
        <v>17360</v>
      </c>
      <c r="T37" s="16">
        <v>28966</v>
      </c>
      <c r="U37" s="16">
        <v>34815</v>
      </c>
      <c r="V37" s="16">
        <v>33537</v>
      </c>
      <c r="W37" s="16">
        <v>29888</v>
      </c>
      <c r="Y37" s="20" t="s">
        <v>94</v>
      </c>
      <c r="Z37" s="4">
        <f>-R26</f>
        <v>-4675</v>
      </c>
      <c r="AA37" s="4">
        <f t="shared" ref="AA37:AE41" si="44">-S26</f>
        <v>-3047</v>
      </c>
      <c r="AB37" s="4">
        <f t="shared" si="44"/>
        <v>-4023</v>
      </c>
      <c r="AC37" s="4">
        <f t="shared" si="44"/>
        <v>-2926</v>
      </c>
      <c r="AD37" s="4">
        <f t="shared" si="44"/>
        <v>-2694</v>
      </c>
      <c r="AE37" s="4">
        <f t="shared" si="44"/>
        <v>-7406</v>
      </c>
      <c r="AF37" s="4">
        <f>AF71*'Income statement'!P12</f>
        <v>-7118.843471305584</v>
      </c>
      <c r="AG37" s="4">
        <f>AG71*'Income statement'!Q12</f>
        <v>-5583.8859256690357</v>
      </c>
      <c r="AH37" s="4">
        <f>AH71*'Income statement'!R12</f>
        <v>-6077.6189969913512</v>
      </c>
      <c r="AI37" s="4">
        <f>AI71*'Income statement'!S12</f>
        <v>-6284.2580428890578</v>
      </c>
      <c r="AJ37" s="4">
        <f>AJ71*'Income statement'!T12</f>
        <v>-6822.8189571646499</v>
      </c>
      <c r="AK37" s="4">
        <f>AK71*'Income statement'!U12</f>
        <v>-6510.9186619799784</v>
      </c>
      <c r="AL37" s="4">
        <f>AL71*'Income statement'!V12</f>
        <v>-6523.9404993039389</v>
      </c>
    </row>
    <row r="38" spans="1:38" x14ac:dyDescent="0.35">
      <c r="A38" t="s">
        <v>110</v>
      </c>
      <c r="B38" s="4">
        <v>7196</v>
      </c>
      <c r="C38" s="4">
        <v>8407</v>
      </c>
      <c r="D38" s="4">
        <v>3694</v>
      </c>
      <c r="E38" s="4">
        <v>6346</v>
      </c>
      <c r="F38" s="4">
        <v>4479</v>
      </c>
      <c r="G38" s="4">
        <v>6459</v>
      </c>
      <c r="I38" t="s">
        <v>121</v>
      </c>
      <c r="J38" s="4">
        <v>37410</v>
      </c>
      <c r="K38" s="4">
        <v>31886</v>
      </c>
      <c r="L38" s="4">
        <v>36285</v>
      </c>
      <c r="M38" s="4">
        <v>30354</v>
      </c>
      <c r="N38" s="4">
        <v>28160</v>
      </c>
      <c r="O38" s="4">
        <v>28297</v>
      </c>
      <c r="Q38" s="1" t="s">
        <v>32</v>
      </c>
      <c r="R38" s="5">
        <f>R35+R37</f>
        <v>79898</v>
      </c>
      <c r="S38" s="5">
        <v>75771</v>
      </c>
      <c r="T38" s="5">
        <v>88185</v>
      </c>
      <c r="U38" s="5">
        <v>94034</v>
      </c>
      <c r="V38" s="5">
        <v>96383</v>
      </c>
      <c r="W38" s="5">
        <v>93840</v>
      </c>
      <c r="Y38" s="20" t="s">
        <v>105</v>
      </c>
      <c r="Z38" s="4">
        <f t="shared" ref="Z38:Z41" si="45">-R27</f>
        <v>-7874</v>
      </c>
      <c r="AA38" s="4">
        <f t="shared" si="44"/>
        <v>-8961</v>
      </c>
      <c r="AB38" s="4">
        <f t="shared" si="44"/>
        <v>-4367</v>
      </c>
      <c r="AC38" s="4">
        <f t="shared" si="44"/>
        <v>-3986</v>
      </c>
      <c r="AD38" s="4">
        <f t="shared" si="44"/>
        <v>-3597</v>
      </c>
      <c r="AE38" s="4">
        <f t="shared" si="44"/>
        <v>-6338</v>
      </c>
      <c r="AF38" s="4">
        <f>'Income statement'!P12*Balance!AF72</f>
        <v>-9491.791295074112</v>
      </c>
      <c r="AG38" s="4">
        <f>'Income statement'!Q12*Balance!AG72</f>
        <v>-7445.1812342253816</v>
      </c>
      <c r="AH38" s="4">
        <f>'Income statement'!R12*Balance!AH72</f>
        <v>-8103.4919959884683</v>
      </c>
      <c r="AI38" s="4">
        <f>'Income statement'!S12*Balance!AI72</f>
        <v>-8379.0107238520759</v>
      </c>
      <c r="AJ38" s="4">
        <f>'Income statement'!T12*Balance!AJ72</f>
        <v>-9097.0919428861998</v>
      </c>
      <c r="AK38" s="4">
        <f>'Income statement'!U12*Balance!AK72</f>
        <v>-8681.2248826399718</v>
      </c>
      <c r="AL38" s="4">
        <f>'Income statement'!V12*Balance!AL72</f>
        <v>-8698.5873324052518</v>
      </c>
    </row>
    <row r="39" spans="1:38" x14ac:dyDescent="0.35">
      <c r="A39" t="s">
        <v>108</v>
      </c>
      <c r="B39" s="4">
        <v>2825</v>
      </c>
      <c r="C39" s="4">
        <v>4764</v>
      </c>
      <c r="D39" s="4">
        <v>4010</v>
      </c>
      <c r="E39" s="4">
        <v>7391</v>
      </c>
      <c r="F39" s="4">
        <v>7109</v>
      </c>
      <c r="G39" s="4">
        <v>3412</v>
      </c>
      <c r="I39" t="s">
        <v>122</v>
      </c>
      <c r="J39" s="4">
        <v>7196</v>
      </c>
      <c r="K39" s="4">
        <v>8407</v>
      </c>
      <c r="L39" s="4">
        <v>3694</v>
      </c>
      <c r="M39" s="4">
        <v>6346</v>
      </c>
      <c r="N39" s="4">
        <v>4479</v>
      </c>
      <c r="O39" s="4">
        <v>6143</v>
      </c>
      <c r="Q39" s="15" t="s">
        <v>90</v>
      </c>
      <c r="R39" s="16">
        <v>8443</v>
      </c>
      <c r="S39" s="16">
        <v>7747</v>
      </c>
      <c r="T39" s="16">
        <v>3591</v>
      </c>
      <c r="U39" s="16">
        <v>3970</v>
      </c>
      <c r="V39" s="16">
        <v>4382</v>
      </c>
      <c r="W39" s="16">
        <v>4188</v>
      </c>
      <c r="Y39" s="20" t="s">
        <v>95</v>
      </c>
      <c r="Z39" s="4">
        <f t="shared" si="45"/>
        <v>-513</v>
      </c>
      <c r="AA39" s="4">
        <f t="shared" si="44"/>
        <v>-532</v>
      </c>
      <c r="AB39" s="4">
        <f t="shared" si="44"/>
        <v>-918</v>
      </c>
      <c r="AC39" s="4">
        <f t="shared" si="44"/>
        <v>-604</v>
      </c>
      <c r="AD39" s="4">
        <f t="shared" si="44"/>
        <v>-1470</v>
      </c>
      <c r="AE39" s="4">
        <f t="shared" si="44"/>
        <v>-606</v>
      </c>
      <c r="AF39" s="4">
        <f>'Income statement'!P12*Balance!AF73</f>
        <v>-790.9826079228427</v>
      </c>
      <c r="AG39" s="4">
        <f>'Income statement'!Q12*Balance!AG73</f>
        <v>-620.43176951878183</v>
      </c>
      <c r="AH39" s="4">
        <f>'Income statement'!R12*Balance!AH73</f>
        <v>-675.29099966570573</v>
      </c>
      <c r="AI39" s="4">
        <f>'Income statement'!S12*Balance!AI73</f>
        <v>-698.25089365433973</v>
      </c>
      <c r="AJ39" s="4">
        <f>'Income statement'!T12*Balance!AJ73</f>
        <v>-758.09099524051669</v>
      </c>
      <c r="AK39" s="4">
        <f>'Income statement'!U12*Balance!AK73</f>
        <v>-723.43540688666428</v>
      </c>
      <c r="AL39" s="4">
        <f>'Income statement'!V12*Balance!AL73</f>
        <v>-724.88227770043773</v>
      </c>
    </row>
    <row r="40" spans="1:38" x14ac:dyDescent="0.35">
      <c r="A40" t="s">
        <v>111</v>
      </c>
      <c r="B40" s="4">
        <v>0</v>
      </c>
      <c r="C40" s="4">
        <v>0</v>
      </c>
      <c r="D40" s="4">
        <v>9086</v>
      </c>
      <c r="E40" s="4">
        <v>9742</v>
      </c>
      <c r="F40" s="4">
        <v>0</v>
      </c>
      <c r="G40" s="4">
        <v>0</v>
      </c>
      <c r="I40" s="15" t="s">
        <v>94</v>
      </c>
      <c r="J40" s="16">
        <v>5388</v>
      </c>
      <c r="K40" s="16">
        <v>5137</v>
      </c>
      <c r="L40" s="16">
        <v>6888</v>
      </c>
      <c r="M40" s="16">
        <v>13124</v>
      </c>
      <c r="N40" s="16">
        <v>9496</v>
      </c>
      <c r="O40" s="16">
        <v>5639</v>
      </c>
      <c r="Q40" s="1" t="s">
        <v>33</v>
      </c>
      <c r="R40" s="5">
        <v>88340</v>
      </c>
      <c r="S40" s="5">
        <v>83519</v>
      </c>
      <c r="T40" s="5">
        <v>91776</v>
      </c>
      <c r="U40" s="5">
        <v>98004</v>
      </c>
      <c r="V40" s="5">
        <v>100764</v>
      </c>
      <c r="W40" s="5">
        <v>98028</v>
      </c>
      <c r="Y40" s="20" t="s">
        <v>94</v>
      </c>
      <c r="Z40" s="4">
        <f t="shared" si="45"/>
        <v>-6651</v>
      </c>
      <c r="AA40" s="4">
        <f t="shared" si="44"/>
        <v>-6637</v>
      </c>
      <c r="AB40" s="4">
        <f t="shared" si="44"/>
        <v>-6537</v>
      </c>
      <c r="AC40" s="4">
        <f t="shared" si="44"/>
        <v>-9118</v>
      </c>
      <c r="AD40" s="4">
        <f t="shared" si="44"/>
        <v>-8752</v>
      </c>
      <c r="AE40" s="4">
        <f t="shared" si="44"/>
        <v>-4410</v>
      </c>
      <c r="AF40" s="4">
        <f>Balance!AF74*'Income statement'!P12</f>
        <v>-11073.756510919799</v>
      </c>
      <c r="AG40" s="4">
        <f>Balance!AG74*'Income statement'!Q12</f>
        <v>-8686.0447732629455</v>
      </c>
      <c r="AH40" s="4">
        <f>Balance!AH74*'Income statement'!R12</f>
        <v>-9454.0739953198809</v>
      </c>
      <c r="AI40" s="4">
        <f>Balance!AI74*'Income statement'!S12</f>
        <v>-9775.5125111607576</v>
      </c>
      <c r="AJ40" s="4">
        <f>Balance!AJ74*'Income statement'!T12</f>
        <v>-10613.273933367234</v>
      </c>
      <c r="AK40" s="4">
        <f>Balance!AK74*'Income statement'!U12</f>
        <v>-10128.0956964133</v>
      </c>
      <c r="AL40" s="4">
        <f>Balance!AL74*'Income statement'!V12</f>
        <v>-10148.35188780613</v>
      </c>
    </row>
    <row r="41" spans="1:38" x14ac:dyDescent="0.35">
      <c r="A41" t="s">
        <v>94</v>
      </c>
      <c r="B41" s="4">
        <v>5388</v>
      </c>
      <c r="C41" s="4">
        <v>5137</v>
      </c>
      <c r="D41" s="4">
        <v>6888</v>
      </c>
      <c r="E41" s="4">
        <v>13124</v>
      </c>
      <c r="F41" s="4">
        <v>9496</v>
      </c>
      <c r="G41" s="4">
        <v>5639</v>
      </c>
      <c r="I41" s="1" t="s">
        <v>118</v>
      </c>
      <c r="J41" s="5">
        <f>SUM(J36:J40)</f>
        <v>55855</v>
      </c>
      <c r="K41" s="5">
        <f t="shared" ref="K41:O41" si="46">SUM(K36:K40)</f>
        <v>49482</v>
      </c>
      <c r="L41" s="5">
        <f t="shared" si="46"/>
        <v>50507</v>
      </c>
      <c r="M41" s="5">
        <f t="shared" si="46"/>
        <v>53732</v>
      </c>
      <c r="N41" s="5">
        <f t="shared" si="46"/>
        <v>45803</v>
      </c>
      <c r="O41" s="5">
        <f t="shared" si="46"/>
        <v>51214</v>
      </c>
      <c r="Q41" t="s">
        <v>104</v>
      </c>
      <c r="R41" s="4">
        <v>2125</v>
      </c>
      <c r="S41" s="18">
        <v>2247</v>
      </c>
      <c r="T41" s="4">
        <v>2539</v>
      </c>
      <c r="U41" s="4">
        <v>2655</v>
      </c>
      <c r="V41" s="4">
        <v>2685</v>
      </c>
      <c r="W41" s="4">
        <v>3357</v>
      </c>
      <c r="Y41" s="21" t="s">
        <v>134</v>
      </c>
      <c r="Z41" s="16">
        <f t="shared" si="45"/>
        <v>-9056</v>
      </c>
      <c r="AA41" s="16">
        <f t="shared" si="44"/>
        <v>-7308</v>
      </c>
      <c r="AB41" s="16">
        <f t="shared" si="44"/>
        <v>-14217</v>
      </c>
      <c r="AC41" s="16">
        <f t="shared" si="44"/>
        <v>-23175</v>
      </c>
      <c r="AD41" s="16">
        <f t="shared" si="44"/>
        <v>-15203</v>
      </c>
      <c r="AE41" s="16">
        <f t="shared" si="44"/>
        <v>-11155</v>
      </c>
      <c r="AF41" s="16">
        <f>AF42-AF32-AF33-AF34-AF35-AF36-AF37-AF38-AF39-AF40</f>
        <v>-11194.234785598712</v>
      </c>
      <c r="AG41" s="16">
        <f>AG42-AG32-AG33-AG34-AG35-AG36-AG37-AG38-AG39-AG40</f>
        <v>-13603.242730792399</v>
      </c>
      <c r="AH41" s="16">
        <f t="shared" ref="AH41:AL41" si="47">AH42-AH32-AH33-AH34-AH35-AH36-AH37-AH38-AH39-AH40</f>
        <v>-13555.785113822067</v>
      </c>
      <c r="AI41" s="16">
        <f t="shared" si="47"/>
        <v>-13569.621070962925</v>
      </c>
      <c r="AJ41" s="16">
        <f t="shared" si="47"/>
        <v>-13094.529864659586</v>
      </c>
      <c r="AK41" s="16">
        <f t="shared" si="47"/>
        <v>-14764.082321502279</v>
      </c>
      <c r="AL41" s="16">
        <f t="shared" si="47"/>
        <v>-15785.143595412796</v>
      </c>
    </row>
    <row r="42" spans="1:38" x14ac:dyDescent="0.35">
      <c r="A42" t="s">
        <v>109</v>
      </c>
      <c r="B42" s="4">
        <v>10781</v>
      </c>
      <c r="C42" s="4">
        <v>11918</v>
      </c>
      <c r="D42" s="4">
        <v>593</v>
      </c>
      <c r="E42" s="4">
        <v>503</v>
      </c>
      <c r="F42" s="4">
        <v>10049</v>
      </c>
      <c r="G42" s="4">
        <v>10115</v>
      </c>
      <c r="I42" t="s">
        <v>108</v>
      </c>
      <c r="J42" s="4">
        <v>2825</v>
      </c>
      <c r="K42" s="4">
        <v>4764</v>
      </c>
      <c r="L42" s="4">
        <v>4010</v>
      </c>
      <c r="M42" s="4">
        <v>7391</v>
      </c>
      <c r="N42" s="4">
        <v>7109</v>
      </c>
      <c r="O42" s="4">
        <v>3412</v>
      </c>
      <c r="Q42" t="s">
        <v>94</v>
      </c>
      <c r="R42" s="4">
        <v>3736</v>
      </c>
      <c r="S42" s="4">
        <v>1805</v>
      </c>
      <c r="T42" s="4">
        <v>1101</v>
      </c>
      <c r="U42" s="4">
        <v>1253</v>
      </c>
      <c r="V42" s="4">
        <v>983</v>
      </c>
      <c r="W42" s="4">
        <v>7778</v>
      </c>
      <c r="Y42" s="25" t="s">
        <v>132</v>
      </c>
      <c r="Z42" s="5">
        <f>Z32+Z33+Z34+Z35+Z36+Z37+Z38+Z39+Z40+Z41</f>
        <v>27086</v>
      </c>
      <c r="AA42" s="5">
        <f t="shared" ref="AA42:AD42" si="48">AA32+AA33+AA34+AA35+AA36+AA37+AA38+AA39+AA40+AA41</f>
        <v>22997</v>
      </c>
      <c r="AB42" s="5">
        <f t="shared" si="48"/>
        <v>20445</v>
      </c>
      <c r="AC42" s="5">
        <f t="shared" si="48"/>
        <v>13923</v>
      </c>
      <c r="AD42" s="5">
        <f t="shared" si="48"/>
        <v>14087</v>
      </c>
      <c r="AE42" s="5">
        <f>AE32+AE33+AE34+AE35+AE36+AE37+AE38+AE39+AE40+AE41</f>
        <v>21299</v>
      </c>
      <c r="AF42" s="5">
        <f>AF24-AF31</f>
        <v>20280.645223288593</v>
      </c>
      <c r="AG42" s="5">
        <f t="shared" ref="AG42:AL42" si="49">AG24-AG31</f>
        <v>20263.098682075011</v>
      </c>
      <c r="AH42" s="5">
        <f t="shared" si="49"/>
        <v>20186.569805239706</v>
      </c>
      <c r="AI42" s="5">
        <f t="shared" si="49"/>
        <v>20461.786106244632</v>
      </c>
      <c r="AJ42" s="5">
        <f t="shared" si="49"/>
        <v>20943.958870871822</v>
      </c>
      <c r="AK42" s="5">
        <f t="shared" si="49"/>
        <v>20505.845565851851</v>
      </c>
      <c r="AL42" s="5">
        <f t="shared" si="49"/>
        <v>19785.398339955354</v>
      </c>
    </row>
    <row r="43" spans="1:38" x14ac:dyDescent="0.35">
      <c r="A43" s="1" t="s">
        <v>35</v>
      </c>
      <c r="B43" s="5">
        <v>26190</v>
      </c>
      <c r="C43" s="5">
        <v>30226</v>
      </c>
      <c r="D43" s="5">
        <v>24271</v>
      </c>
      <c r="E43" s="5">
        <v>37107</v>
      </c>
      <c r="F43" s="5">
        <v>31131</v>
      </c>
      <c r="G43" s="5">
        <v>25625</v>
      </c>
      <c r="I43" t="s">
        <v>111</v>
      </c>
      <c r="J43" s="4">
        <v>0</v>
      </c>
      <c r="K43" s="4">
        <v>0</v>
      </c>
      <c r="L43" s="4">
        <v>9086</v>
      </c>
      <c r="M43" s="4">
        <v>9742</v>
      </c>
      <c r="N43" s="4">
        <v>0</v>
      </c>
      <c r="O43" s="4">
        <v>0</v>
      </c>
      <c r="Q43" t="s">
        <v>121</v>
      </c>
      <c r="R43" s="4">
        <v>37410</v>
      </c>
      <c r="S43" s="4">
        <v>31886</v>
      </c>
      <c r="T43" s="4">
        <v>36285</v>
      </c>
      <c r="U43" s="4">
        <v>30354</v>
      </c>
      <c r="V43" s="4">
        <v>28160</v>
      </c>
      <c r="W43" s="4">
        <v>28297</v>
      </c>
    </row>
    <row r="44" spans="1:38" x14ac:dyDescent="0.35">
      <c r="A44" s="1" t="s">
        <v>36</v>
      </c>
      <c r="B44" s="5">
        <v>176905</v>
      </c>
      <c r="C44" s="5">
        <v>166630</v>
      </c>
      <c r="D44" s="5">
        <v>169183</v>
      </c>
      <c r="E44" s="5">
        <v>182388</v>
      </c>
      <c r="F44" s="5">
        <v>177548</v>
      </c>
      <c r="G44" s="5">
        <v>181257</v>
      </c>
      <c r="I44" t="s">
        <v>109</v>
      </c>
      <c r="J44" s="4">
        <v>10781</v>
      </c>
      <c r="K44" s="4">
        <v>11918</v>
      </c>
      <c r="L44" s="4">
        <v>593</v>
      </c>
      <c r="M44" s="4">
        <v>503</v>
      </c>
      <c r="N44" s="4">
        <v>10049</v>
      </c>
      <c r="O44" s="4">
        <v>10115</v>
      </c>
      <c r="Q44" t="s">
        <v>122</v>
      </c>
      <c r="R44" s="4">
        <v>7196</v>
      </c>
      <c r="S44" s="4">
        <v>8407</v>
      </c>
      <c r="T44" s="4">
        <v>3694</v>
      </c>
      <c r="U44" s="4">
        <v>6346</v>
      </c>
      <c r="V44" s="4">
        <v>4479</v>
      </c>
      <c r="W44" s="4">
        <v>6143</v>
      </c>
      <c r="Y44" s="25" t="s">
        <v>133</v>
      </c>
      <c r="Z44" s="5">
        <f>Z31+Z42</f>
        <v>115426</v>
      </c>
      <c r="AA44" s="5">
        <f t="shared" ref="AA44:AE44" si="50">AA31+AA42</f>
        <v>106516</v>
      </c>
      <c r="AB44" s="5">
        <f t="shared" si="50"/>
        <v>112221</v>
      </c>
      <c r="AC44" s="5">
        <f t="shared" si="50"/>
        <v>111927</v>
      </c>
      <c r="AD44" s="5">
        <f t="shared" si="50"/>
        <v>114851</v>
      </c>
      <c r="AE44" s="5">
        <f t="shared" si="50"/>
        <v>119327</v>
      </c>
      <c r="AF44" s="5">
        <f>AF31+AF42</f>
        <v>120592.07871274531</v>
      </c>
      <c r="AG44" s="5">
        <f t="shared" ref="AG44:AL44" si="51">AG31+AG42</f>
        <v>122082.94533887471</v>
      </c>
      <c r="AH44" s="5">
        <f t="shared" si="51"/>
        <v>123709.683688919</v>
      </c>
      <c r="AI44" s="5">
        <f t="shared" si="51"/>
        <v>125754.51523763928</v>
      </c>
      <c r="AJ44" s="5">
        <f t="shared" si="51"/>
        <v>128204.22078397287</v>
      </c>
      <c r="AK44" s="5">
        <f t="shared" si="51"/>
        <v>129137.31802624465</v>
      </c>
      <c r="AL44" s="5">
        <f t="shared" si="51"/>
        <v>129789.48371198146</v>
      </c>
    </row>
    <row r="45" spans="1:38" x14ac:dyDescent="0.35">
      <c r="I45" s="15" t="s">
        <v>117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6">
        <v>316</v>
      </c>
      <c r="Q45" s="15" t="s">
        <v>94</v>
      </c>
      <c r="R45" s="16">
        <v>5388</v>
      </c>
      <c r="S45" s="16">
        <v>5137</v>
      </c>
      <c r="T45" s="16">
        <v>6888</v>
      </c>
      <c r="U45" s="16">
        <v>13124</v>
      </c>
      <c r="V45" s="16">
        <v>9496</v>
      </c>
      <c r="W45" s="16">
        <v>5639</v>
      </c>
    </row>
    <row r="46" spans="1:38" x14ac:dyDescent="0.35">
      <c r="B46" s="4"/>
      <c r="I46" s="1" t="s">
        <v>119</v>
      </c>
      <c r="J46" s="5">
        <f>SUM(J42:J45)</f>
        <v>13606</v>
      </c>
      <c r="K46" s="5">
        <f t="shared" ref="K46:O46" si="52">SUM(K42:K45)</f>
        <v>16682</v>
      </c>
      <c r="L46" s="5">
        <f t="shared" si="52"/>
        <v>13689</v>
      </c>
      <c r="M46" s="5">
        <f t="shared" si="52"/>
        <v>17636</v>
      </c>
      <c r="N46" s="5">
        <f t="shared" si="52"/>
        <v>17158</v>
      </c>
      <c r="O46" s="5">
        <f t="shared" si="52"/>
        <v>13843</v>
      </c>
      <c r="Q46" s="1" t="s">
        <v>118</v>
      </c>
      <c r="R46" s="5">
        <f>R41+R42+R43+R44+R45</f>
        <v>55855</v>
      </c>
      <c r="S46" s="5">
        <f t="shared" ref="S46:W46" si="53">S41+S42+S43+S44+S45</f>
        <v>49482</v>
      </c>
      <c r="T46" s="5">
        <f t="shared" si="53"/>
        <v>50507</v>
      </c>
      <c r="U46" s="5">
        <f t="shared" si="53"/>
        <v>53732</v>
      </c>
      <c r="V46" s="5">
        <f t="shared" si="53"/>
        <v>45803</v>
      </c>
      <c r="W46" s="5">
        <f t="shared" si="53"/>
        <v>51214</v>
      </c>
    </row>
    <row r="47" spans="1:38" x14ac:dyDescent="0.35">
      <c r="A47" t="s">
        <v>150</v>
      </c>
      <c r="C47">
        <v>226</v>
      </c>
      <c r="D47">
        <v>2052</v>
      </c>
      <c r="E47">
        <v>6040</v>
      </c>
      <c r="F47">
        <v>8549</v>
      </c>
      <c r="G47" s="4">
        <v>6500</v>
      </c>
    </row>
    <row r="48" spans="1:38" x14ac:dyDescent="0.35">
      <c r="A48" t="s">
        <v>149</v>
      </c>
      <c r="C48">
        <v>5700</v>
      </c>
      <c r="D48">
        <v>3895</v>
      </c>
      <c r="E48">
        <v>6981</v>
      </c>
      <c r="F48">
        <v>7421</v>
      </c>
      <c r="G48">
        <v>9901</v>
      </c>
      <c r="I48" s="1" t="s">
        <v>120</v>
      </c>
      <c r="J48" s="5">
        <f>J31+J35+J41+J46</f>
        <v>176905</v>
      </c>
      <c r="K48" s="5">
        <f t="shared" ref="K48:O48" si="54">K31+K35+K41+K46</f>
        <v>166631</v>
      </c>
      <c r="L48" s="5">
        <f t="shared" si="54"/>
        <v>169183</v>
      </c>
      <c r="M48" s="5">
        <f t="shared" si="54"/>
        <v>182390</v>
      </c>
      <c r="N48" s="5">
        <f t="shared" si="54"/>
        <v>177548</v>
      </c>
      <c r="O48" s="5">
        <f t="shared" si="54"/>
        <v>181257</v>
      </c>
      <c r="Q48" s="1" t="s">
        <v>131</v>
      </c>
      <c r="R48" s="5">
        <f>R40+R46</f>
        <v>144195</v>
      </c>
      <c r="S48" s="5">
        <f t="shared" ref="S48:W48" si="55">S40+S46</f>
        <v>133001</v>
      </c>
      <c r="T48" s="5">
        <f t="shared" si="55"/>
        <v>142283</v>
      </c>
      <c r="U48" s="5">
        <f t="shared" si="55"/>
        <v>151736</v>
      </c>
      <c r="V48" s="5">
        <f t="shared" si="55"/>
        <v>146567</v>
      </c>
      <c r="W48" s="5">
        <f t="shared" si="55"/>
        <v>149242</v>
      </c>
      <c r="X48" s="4"/>
      <c r="Y48" s="32"/>
    </row>
    <row r="49" spans="1:38" x14ac:dyDescent="0.35">
      <c r="A49" t="s">
        <v>147</v>
      </c>
      <c r="E49" s="27">
        <v>0.44</v>
      </c>
      <c r="F49">
        <f>3738/F48</f>
        <v>0.50370570004042581</v>
      </c>
      <c r="G49" s="27">
        <v>0.46</v>
      </c>
      <c r="Y49" s="9"/>
    </row>
    <row r="50" spans="1:38" x14ac:dyDescent="0.35">
      <c r="A50" t="s">
        <v>146</v>
      </c>
      <c r="E50" t="s">
        <v>151</v>
      </c>
      <c r="F50">
        <f>2712/F48</f>
        <v>0.36544940035035711</v>
      </c>
      <c r="G50" s="27">
        <v>0.3</v>
      </c>
      <c r="O50" s="4"/>
    </row>
    <row r="51" spans="1:38" ht="18.5" x14ac:dyDescent="0.45">
      <c r="A51" t="s">
        <v>148</v>
      </c>
      <c r="F51">
        <f>972/F48</f>
        <v>0.13097965233795986</v>
      </c>
      <c r="G51" s="27">
        <v>0.24</v>
      </c>
      <c r="N51" s="4"/>
      <c r="Y51" s="36"/>
      <c r="Z51" s="98" t="s">
        <v>42</v>
      </c>
      <c r="AA51" s="99"/>
      <c r="AB51" s="99"/>
      <c r="AC51" s="99"/>
      <c r="AD51" s="99"/>
      <c r="AE51" s="100"/>
      <c r="AF51" s="97" t="s">
        <v>46</v>
      </c>
      <c r="AG51" s="97"/>
      <c r="AH51" s="97"/>
      <c r="AI51" s="97"/>
      <c r="AJ51" s="97"/>
      <c r="AK51" s="97" t="s">
        <v>47</v>
      </c>
      <c r="AL51" s="97"/>
    </row>
    <row r="52" spans="1:38" ht="23.5" x14ac:dyDescent="0.55000000000000004">
      <c r="Q52" t="s">
        <v>143</v>
      </c>
      <c r="Y52" s="33" t="s">
        <v>172</v>
      </c>
      <c r="Z52" s="2">
        <v>2015</v>
      </c>
      <c r="AA52" s="2">
        <v>2016</v>
      </c>
      <c r="AB52" s="2">
        <v>2017</v>
      </c>
      <c r="AC52" s="2">
        <v>2018</v>
      </c>
      <c r="AD52" s="2">
        <v>2019</v>
      </c>
      <c r="AE52" s="2">
        <v>2020</v>
      </c>
      <c r="AF52" s="39">
        <v>2021</v>
      </c>
      <c r="AG52" s="39">
        <v>2022</v>
      </c>
      <c r="AH52" s="39">
        <v>2023</v>
      </c>
      <c r="AI52" s="39">
        <v>2024</v>
      </c>
      <c r="AJ52" s="39">
        <v>2025</v>
      </c>
      <c r="AK52" s="39">
        <v>2026</v>
      </c>
      <c r="AL52" s="39">
        <v>2027</v>
      </c>
    </row>
    <row r="53" spans="1:38" x14ac:dyDescent="0.35">
      <c r="Y53" t="s">
        <v>178</v>
      </c>
      <c r="Z53" s="34">
        <f>Z10/'Income statement'!J12</f>
        <v>0.11138533356291493</v>
      </c>
      <c r="AA53" s="34">
        <f>AA10/'Income statement'!K12</f>
        <v>9.0801650574896836E-2</v>
      </c>
      <c r="AB53" s="34">
        <f>AB10/'Income statement'!L12</f>
        <v>5.3027514125198072E-2</v>
      </c>
      <c r="AC53" s="34">
        <f>AC10/'Income statement'!M12</f>
        <v>6.9629497684360525E-2</v>
      </c>
      <c r="AD53" s="34">
        <f>AD10/'Income statement'!N12</f>
        <v>0.10364885120472493</v>
      </c>
      <c r="AE53" s="34">
        <f>AE10/'Income statement'!O12</f>
        <v>0.11849611063094209</v>
      </c>
      <c r="AF53">
        <v>0.09</v>
      </c>
      <c r="AG53">
        <v>0.09</v>
      </c>
      <c r="AH53">
        <v>0.09</v>
      </c>
      <c r="AI53">
        <v>0.09</v>
      </c>
      <c r="AJ53">
        <v>0.09</v>
      </c>
      <c r="AK53">
        <v>0.09</v>
      </c>
      <c r="AL53">
        <v>0.09</v>
      </c>
    </row>
    <row r="54" spans="1:38" x14ac:dyDescent="0.35">
      <c r="G54">
        <f>G21/G43</f>
        <v>1.412409756097561</v>
      </c>
      <c r="Z54" s="34"/>
      <c r="AA54" s="34"/>
      <c r="AB54" s="34"/>
      <c r="AC54" s="34"/>
      <c r="AD54" s="34"/>
      <c r="AE54" s="34"/>
    </row>
    <row r="55" spans="1:38" x14ac:dyDescent="0.35">
      <c r="Y55" t="s">
        <v>173</v>
      </c>
      <c r="Z55" s="34">
        <f>(Z13+Z9)/Z11</f>
        <v>-8.4841781542528791E-2</v>
      </c>
      <c r="AA55" s="34">
        <f t="shared" ref="AA55:AE55" si="56">(AA13+AA9)/AA11</f>
        <v>-9.1439745215531013E-2</v>
      </c>
      <c r="AB55" s="34">
        <f t="shared" si="56"/>
        <v>-8.5781012277964586E-2</v>
      </c>
      <c r="AC55" s="34">
        <f t="shared" si="56"/>
        <v>-8.652973218338629E-2</v>
      </c>
      <c r="AD55" s="34">
        <f t="shared" si="56"/>
        <v>-9.2651931689910066E-2</v>
      </c>
      <c r="AE55" s="34">
        <f t="shared" si="56"/>
        <v>-7.9762977770241925E-2</v>
      </c>
      <c r="AF55">
        <v>-0.08</v>
      </c>
      <c r="AG55">
        <v>-0.08</v>
      </c>
      <c r="AH55">
        <v>-0.08</v>
      </c>
      <c r="AI55">
        <v>-0.08</v>
      </c>
      <c r="AJ55">
        <v>-0.08</v>
      </c>
      <c r="AK55">
        <v>-0.08</v>
      </c>
      <c r="AL55">
        <v>-0.08</v>
      </c>
    </row>
    <row r="56" spans="1:38" x14ac:dyDescent="0.35">
      <c r="Y56" t="s">
        <v>200</v>
      </c>
      <c r="Z56" s="34">
        <f>Z12/Z11</f>
        <v>0.17434154324817683</v>
      </c>
      <c r="AA56" s="34">
        <f t="shared" ref="AA56:AE56" si="57">AA12/AA11</f>
        <v>0.18816491292605247</v>
      </c>
      <c r="AB56" s="34">
        <f t="shared" si="57"/>
        <v>0.12995067494888218</v>
      </c>
      <c r="AC56" s="34">
        <f t="shared" si="57"/>
        <v>0.12393138144953851</v>
      </c>
      <c r="AD56" s="34">
        <f t="shared" si="57"/>
        <v>0.11758547864399374</v>
      </c>
      <c r="AE56" s="34">
        <f t="shared" si="57"/>
        <v>0.12040300918282659</v>
      </c>
      <c r="AF56">
        <v>0.13</v>
      </c>
      <c r="AG56">
        <v>0.13</v>
      </c>
      <c r="AH56">
        <v>0.13</v>
      </c>
      <c r="AI56">
        <v>0.13</v>
      </c>
      <c r="AJ56">
        <v>0.13</v>
      </c>
      <c r="AK56">
        <v>0.13</v>
      </c>
      <c r="AL56">
        <v>0.13</v>
      </c>
    </row>
    <row r="57" spans="1:38" x14ac:dyDescent="0.35">
      <c r="Y57" t="s">
        <v>179</v>
      </c>
      <c r="Z57" s="34">
        <f>Z14/'Income statement'!J12</f>
        <v>-0.18498536417379327</v>
      </c>
      <c r="AA57" s="34">
        <f>AA14/'Income statement'!K12</f>
        <v>-0.15027442810784825</v>
      </c>
      <c r="AB57" s="34">
        <f>AB14/'Income statement'!L12</f>
        <v>-5.4372008899274932E-2</v>
      </c>
      <c r="AC57" s="34">
        <f>AC14/'Income statement'!M12</f>
        <v>-5.6857855361596009E-2</v>
      </c>
      <c r="AD57" s="34">
        <f>AD14/'Income statement'!N12</f>
        <v>-6.7809123246605069E-2</v>
      </c>
      <c r="AE57" s="34">
        <f>(AE14+AE15)/'Income statement'!O12</f>
        <v>-0.21826562950158457</v>
      </c>
      <c r="AF57">
        <v>-0.12</v>
      </c>
      <c r="AG57">
        <v>-0.12</v>
      </c>
      <c r="AH57">
        <v>-0.12</v>
      </c>
      <c r="AI57">
        <v>-0.12</v>
      </c>
      <c r="AJ57">
        <v>-0.12</v>
      </c>
      <c r="AK57">
        <v>-0.12</v>
      </c>
      <c r="AL57">
        <v>-0.12</v>
      </c>
    </row>
    <row r="58" spans="1:38" x14ac:dyDescent="0.35">
      <c r="Y58" t="s">
        <v>174</v>
      </c>
      <c r="AA58" s="4">
        <f>Z31-AA31+'Income statement'!K35</f>
        <v>4642</v>
      </c>
      <c r="AB58" s="4">
        <f>AA31-AB31+'Income statement'!L35</f>
        <v>3473</v>
      </c>
      <c r="AC58" s="4">
        <f>AB31-AC31+'Income statement'!M35</f>
        <v>7162</v>
      </c>
      <c r="AD58" s="4">
        <f>AC31-AD31+'Income statement'!N35</f>
        <v>8568</v>
      </c>
      <c r="AE58" s="4">
        <f>AD31-AE31+'Income statement'!O35</f>
        <v>6267</v>
      </c>
      <c r="AF58" s="4">
        <f>'Income statement'!P35*Balance!AF59</f>
        <v>9133.7339578268602</v>
      </c>
      <c r="AG58" s="4">
        <f>'Income statement'!Q35*Balance!AG59</f>
        <v>6033.6526693719043</v>
      </c>
      <c r="AH58" s="4">
        <f>'Income statement'!R35*Balance!AH59</f>
        <v>6813.0689075184309</v>
      </c>
      <c r="AI58" s="4">
        <f>'Income statement'!S35*Balance!AI59</f>
        <v>7078.4609908613875</v>
      </c>
      <c r="AJ58" s="4">
        <f>'Income statement'!T35*Balance!AJ59</f>
        <v>7870.1311268256468</v>
      </c>
      <c r="AK58" s="4">
        <f>'Income statement'!U35*Balance!AK59</f>
        <v>7770.1931013198955</v>
      </c>
      <c r="AL58" s="4">
        <f>'Income statement'!V35*Balance!AL59</f>
        <v>7778.1398325887649</v>
      </c>
    </row>
    <row r="59" spans="1:38" x14ac:dyDescent="0.35">
      <c r="Y59" t="s">
        <v>175</v>
      </c>
      <c r="Z59" s="34"/>
      <c r="AA59" s="34">
        <f>AA58/'Income statement'!K35</f>
        <v>-25.932960893854748</v>
      </c>
      <c r="AB59" s="34">
        <f>AB58/'Income statement'!L35</f>
        <v>0.29607843137254902</v>
      </c>
      <c r="AC59" s="34">
        <f>AC58/'Income statement'!M35</f>
        <v>0.53487677371172515</v>
      </c>
      <c r="AD59" s="34">
        <f>AD58/'Income statement'!N35</f>
        <v>0.75635593220338981</v>
      </c>
      <c r="AE59" s="34">
        <f>AE58/'Income statement'!O35</f>
        <v>1.7748513169073916</v>
      </c>
      <c r="AF59">
        <v>0.8</v>
      </c>
      <c r="AG59">
        <v>0.8</v>
      </c>
      <c r="AH59">
        <v>0.8</v>
      </c>
      <c r="AI59">
        <v>0.8</v>
      </c>
      <c r="AJ59">
        <v>0.8</v>
      </c>
      <c r="AK59">
        <v>0.85</v>
      </c>
      <c r="AL59">
        <v>0.85</v>
      </c>
    </row>
    <row r="60" spans="1:38" x14ac:dyDescent="0.35">
      <c r="Y60" t="s">
        <v>184</v>
      </c>
      <c r="Z60" s="34">
        <f>Z18/'Income statement'!J12</f>
        <v>0.2042319539306281</v>
      </c>
      <c r="AA60" s="34">
        <f>AA18/'Income statement'!K12</f>
        <v>0.20469933095629181</v>
      </c>
      <c r="AB60" s="34">
        <f>AB18/'Income statement'!L12</f>
        <v>0.24604254365606543</v>
      </c>
      <c r="AC60" s="34">
        <f>AC18/'Income statement'!M12</f>
        <v>0.22855361596009974</v>
      </c>
      <c r="AD60" s="34">
        <f>AD18/'Income statement'!N12</f>
        <v>0.2986196559207141</v>
      </c>
      <c r="AE60" s="34">
        <f>AE18/'Income statement'!O12</f>
        <v>0.39351771823681936</v>
      </c>
      <c r="AF60">
        <v>0.26</v>
      </c>
      <c r="AG60">
        <v>0.26</v>
      </c>
      <c r="AH60">
        <v>0.26</v>
      </c>
      <c r="AI60">
        <v>0.26</v>
      </c>
      <c r="AJ60">
        <v>0.26</v>
      </c>
      <c r="AK60">
        <v>0.26</v>
      </c>
      <c r="AL60">
        <v>0.26</v>
      </c>
    </row>
    <row r="61" spans="1:38" x14ac:dyDescent="0.35">
      <c r="Y61" t="s">
        <v>183</v>
      </c>
      <c r="Z61" s="34">
        <f>Z17/'Income statement'!J12</f>
        <v>1.9973598117430984E-2</v>
      </c>
      <c r="AA61" s="34">
        <f>AA17/'Income statement'!K12</f>
        <v>5.3142902928568568E-2</v>
      </c>
      <c r="AB61" s="34">
        <f>AB17/'Income statement'!L12</f>
        <v>4.5952910671126973E-2</v>
      </c>
      <c r="AC61" s="34">
        <f>AC17/'Income statement'!M12</f>
        <v>0.11250445315283221</v>
      </c>
      <c r="AD61" s="34">
        <f>AD17/'Income statement'!N12</f>
        <v>9.9957493456229451E-2</v>
      </c>
      <c r="AE61" s="34">
        <f>AE17/'Income statement'!O12</f>
        <v>0.18331892826274848</v>
      </c>
      <c r="AF61">
        <v>0.08</v>
      </c>
      <c r="AG61">
        <v>0.08</v>
      </c>
      <c r="AH61">
        <v>0.08</v>
      </c>
      <c r="AI61">
        <v>0.08</v>
      </c>
      <c r="AJ61">
        <v>0.08</v>
      </c>
      <c r="AK61">
        <v>0.08</v>
      </c>
      <c r="AL61">
        <v>0.08</v>
      </c>
    </row>
    <row r="62" spans="1:38" x14ac:dyDescent="0.35">
      <c r="Y62" t="s">
        <v>185</v>
      </c>
      <c r="Z62" s="34">
        <f>Z21/('Income statement'!J13+'Income statement'!J14)</f>
        <v>0.32665737486365287</v>
      </c>
      <c r="AA62" s="34">
        <f>AA21/('Income statement'!K13+'Income statement'!K14)</f>
        <v>0.39247842982282816</v>
      </c>
      <c r="AB62" s="34">
        <f>AB21/('Income statement'!L13+'Income statement'!L14)</f>
        <v>1.5255196542498456E-2</v>
      </c>
      <c r="AC62" s="34">
        <f>AC21/('Income statement'!M13+'Income statement'!M14)</f>
        <v>1.7557944708182071E-2</v>
      </c>
      <c r="AD62" s="34">
        <f>AD21/('Income statement'!N13+'Income statement'!N14)</f>
        <v>0.54266119451344641</v>
      </c>
      <c r="AE62" s="34">
        <f>AE21/('Income statement'!O13+'Income statement'!O14)</f>
        <v>0.59152046783625734</v>
      </c>
      <c r="AF62">
        <v>0.3</v>
      </c>
      <c r="AG62">
        <v>0.3</v>
      </c>
      <c r="AH62">
        <v>0.3</v>
      </c>
      <c r="AI62">
        <v>0.3</v>
      </c>
      <c r="AJ62">
        <v>0.3</v>
      </c>
      <c r="AK62">
        <v>0.3</v>
      </c>
      <c r="AL62">
        <v>0.3</v>
      </c>
    </row>
    <row r="63" spans="1:38" x14ac:dyDescent="0.35">
      <c r="Y63" t="s">
        <v>186</v>
      </c>
      <c r="Z63" s="34">
        <f>Z19/-'Income statement'!J23</f>
        <v>-1.8249354005167959</v>
      </c>
      <c r="AA63" s="34">
        <f>AA19/-'Income statement'!K23</f>
        <v>-0.88189559422436137</v>
      </c>
      <c r="AB63" s="34">
        <f>AB19/-'Income statement'!L23</f>
        <v>-1.0123706134814441</v>
      </c>
      <c r="AC63" s="34">
        <f>AC19/-'Income statement'!M23</f>
        <v>-1.0183246073298429</v>
      </c>
      <c r="AD63" s="34">
        <f>AD19/-'Income statement'!N23</f>
        <v>-0.93147274633123689</v>
      </c>
      <c r="AE63" s="34">
        <f>AE19/-'Income statement'!O23</f>
        <v>-2.4011259676284307</v>
      </c>
      <c r="AF63">
        <v>-1.3</v>
      </c>
      <c r="AG63">
        <v>-1.3</v>
      </c>
      <c r="AH63">
        <v>-1.3</v>
      </c>
      <c r="AI63">
        <v>-1.3</v>
      </c>
      <c r="AJ63">
        <v>-1.3</v>
      </c>
      <c r="AK63">
        <v>-1.3</v>
      </c>
      <c r="AL63">
        <v>-1.3</v>
      </c>
    </row>
    <row r="64" spans="1:38" x14ac:dyDescent="0.35">
      <c r="Y64" t="s">
        <v>187</v>
      </c>
      <c r="Z64" s="34">
        <f>(Z20+Z21+Z22)/'Income statement'!J12</f>
        <v>-0.20625992462071208</v>
      </c>
      <c r="AA64" s="34">
        <f>(AA20+AA21+AA22)/'Income statement'!K12</f>
        <v>-0.23873242257922359</v>
      </c>
      <c r="AB64" s="34">
        <f>(AB20+AB21+AB22)/'Income statement'!L12</f>
        <v>-0.15492101093202298</v>
      </c>
      <c r="AC64" s="34">
        <f>(AC20+AC21+AC22)/'Income statement'!M12</f>
        <v>-0.18249020306376915</v>
      </c>
      <c r="AD64" s="34">
        <f>(AD20+AD21+AD22)/'Income statement'!N12</f>
        <v>-0.22481487281594667</v>
      </c>
      <c r="AE64" s="34">
        <f>(AE20+AE21+AE22)/'Income statement'!O12</f>
        <v>-0.30051858254105446</v>
      </c>
      <c r="AF64">
        <v>-0.22</v>
      </c>
      <c r="AG64">
        <v>-0.22</v>
      </c>
      <c r="AH64">
        <v>-0.22</v>
      </c>
      <c r="AI64">
        <v>-0.22</v>
      </c>
      <c r="AJ64">
        <v>-0.22</v>
      </c>
      <c r="AK64">
        <v>-0.22</v>
      </c>
      <c r="AL64">
        <v>-0.22</v>
      </c>
    </row>
    <row r="65" spans="25:38" x14ac:dyDescent="0.35">
      <c r="Z65" s="43"/>
      <c r="AA65" s="43"/>
      <c r="AB65" s="43"/>
      <c r="AC65" s="43"/>
      <c r="AD65" s="43"/>
      <c r="AE65" s="43"/>
    </row>
    <row r="66" spans="25:38" x14ac:dyDescent="0.35">
      <c r="Y66" s="31" t="s">
        <v>192</v>
      </c>
      <c r="Z66" s="34">
        <f>Z32/'Income statement'!J12</f>
        <v>4.0655072796495058E-2</v>
      </c>
      <c r="AA66" s="34">
        <f>AA32/'Income statement'!K12</f>
        <v>4.5010215936861504E-2</v>
      </c>
      <c r="AB66" s="34">
        <f>AB32/'Income statement'!L12</f>
        <v>4.063895513548986E-2</v>
      </c>
      <c r="AC66" s="34">
        <f>AC32/'Income statement'!M12</f>
        <v>4.729248307801924E-2</v>
      </c>
      <c r="AD66" s="34">
        <f>AD32/'Income statement'!N12</f>
        <v>6.0068457907335733E-2</v>
      </c>
      <c r="AE66" s="34">
        <f>AE32/'Income statement'!O12</f>
        <v>9.6715643906655144E-2</v>
      </c>
      <c r="AF66">
        <v>5.5E-2</v>
      </c>
      <c r="AG66">
        <v>5.5E-2</v>
      </c>
      <c r="AH66">
        <v>5.5E-2</v>
      </c>
      <c r="AI66">
        <v>5.5E-2</v>
      </c>
      <c r="AJ66">
        <v>5.5E-2</v>
      </c>
      <c r="AK66">
        <v>5.5E-2</v>
      </c>
      <c r="AL66">
        <v>5.5E-2</v>
      </c>
    </row>
    <row r="67" spans="25:38" x14ac:dyDescent="0.35">
      <c r="Y67" s="31" t="s">
        <v>191</v>
      </c>
      <c r="Z67" s="34">
        <f>Z33/'Income statement'!J12</f>
        <v>7.1476400925979067E-2</v>
      </c>
      <c r="AA67" s="34">
        <f>AA33/'Income statement'!K12</f>
        <v>3.6156403990224753E-2</v>
      </c>
      <c r="AB67" s="34">
        <f>AB33/'Income statement'!L12</f>
        <v>1.7622485074507418E-2</v>
      </c>
      <c r="AC67" s="34">
        <f>AC33/'Income statement'!M12</f>
        <v>2.2319201995012469E-2</v>
      </c>
      <c r="AD67" s="34">
        <f>AD33/'Income statement'!N12</f>
        <v>2.1991543434976175E-2</v>
      </c>
      <c r="AE67" s="34">
        <f>AE33/'Income statement'!O12</f>
        <v>0.22408527801786229</v>
      </c>
      <c r="AF67">
        <v>0.04</v>
      </c>
      <c r="AG67">
        <v>0.04</v>
      </c>
      <c r="AH67">
        <v>0.04</v>
      </c>
      <c r="AI67">
        <v>0.04</v>
      </c>
      <c r="AJ67">
        <v>0.04</v>
      </c>
      <c r="AK67">
        <v>0.04</v>
      </c>
      <c r="AL67">
        <v>0.04</v>
      </c>
    </row>
    <row r="68" spans="25:38" x14ac:dyDescent="0.35">
      <c r="Y68" s="31" t="s">
        <v>193</v>
      </c>
      <c r="Z68" s="34"/>
      <c r="AA68" s="34">
        <f>AA34/Z24</f>
        <v>0.27624625301058686</v>
      </c>
      <c r="AB68" s="34">
        <f t="shared" ref="AB68:AE68" si="58">AB34/AB24</f>
        <v>0.32333520464084264</v>
      </c>
      <c r="AC68" s="34">
        <f t="shared" si="58"/>
        <v>0.27119461792060895</v>
      </c>
      <c r="AD68" s="34">
        <f t="shared" si="58"/>
        <v>0.24518724260128341</v>
      </c>
      <c r="AE68" s="34">
        <f t="shared" si="58"/>
        <v>0.2371382838754012</v>
      </c>
      <c r="AF68">
        <v>0.28999999999999998</v>
      </c>
      <c r="AG68">
        <v>0.28999999999999998</v>
      </c>
      <c r="AH68">
        <v>0.28999999999999998</v>
      </c>
      <c r="AI68">
        <v>0.28999999999999998</v>
      </c>
      <c r="AJ68">
        <v>0.28999999999999998</v>
      </c>
      <c r="AK68">
        <v>0.28999999999999998</v>
      </c>
      <c r="AL68">
        <v>0.28999999999999998</v>
      </c>
    </row>
    <row r="69" spans="25:38" x14ac:dyDescent="0.35">
      <c r="Y69" s="31" t="s">
        <v>194</v>
      </c>
      <c r="Z69" s="34"/>
      <c r="AA69" s="34">
        <f>AA35/Z24</f>
        <v>7.2834543343787361E-2</v>
      </c>
      <c r="AB69" s="34">
        <f t="shared" ref="AB69:AE69" si="59">AB35/AA24</f>
        <v>3.4680235833114276E-2</v>
      </c>
      <c r="AC69" s="34">
        <f t="shared" si="59"/>
        <v>5.6549130733106995E-2</v>
      </c>
      <c r="AD69" s="34">
        <f t="shared" si="59"/>
        <v>4.0017154037899703E-2</v>
      </c>
      <c r="AE69" s="34">
        <f t="shared" si="59"/>
        <v>5.3486691452403548E-2</v>
      </c>
      <c r="AF69">
        <v>0.05</v>
      </c>
      <c r="AG69">
        <v>0.05</v>
      </c>
      <c r="AH69">
        <v>0.05</v>
      </c>
      <c r="AI69">
        <v>0.05</v>
      </c>
      <c r="AJ69">
        <v>0.05</v>
      </c>
      <c r="AK69">
        <v>0.05</v>
      </c>
      <c r="AL69">
        <v>0.05</v>
      </c>
    </row>
    <row r="70" spans="25:38" x14ac:dyDescent="0.35">
      <c r="Y70" s="31" t="s">
        <v>196</v>
      </c>
      <c r="Z70" s="34">
        <f>Z36/'Income statement'!J12</f>
        <v>0.1030821328129484</v>
      </c>
      <c r="AA70" s="34">
        <f>AA36/'Income statement'!K12</f>
        <v>0.1029005248187172</v>
      </c>
      <c r="AB70" s="34">
        <f>AB36/'Income statement'!L12</f>
        <v>0.11024857147430255</v>
      </c>
      <c r="AC70" s="34">
        <f>AC36/'Income statement'!M12</f>
        <v>0.23377271107944425</v>
      </c>
      <c r="AD70" s="34">
        <f>AD36/'Income statement'!N12</f>
        <v>0.21244323139220117</v>
      </c>
      <c r="AE70" s="34">
        <f>AE36/'Income statement'!O12</f>
        <v>0.16246038605589166</v>
      </c>
      <c r="AF70">
        <v>0.15</v>
      </c>
      <c r="AG70">
        <v>0.15</v>
      </c>
      <c r="AH70">
        <v>0.15</v>
      </c>
      <c r="AI70">
        <v>0.15</v>
      </c>
      <c r="AJ70">
        <v>0.15</v>
      </c>
      <c r="AK70">
        <v>0.15</v>
      </c>
      <c r="AL70">
        <v>0.15</v>
      </c>
    </row>
    <row r="71" spans="25:38" x14ac:dyDescent="0.35">
      <c r="Y71" s="31" t="s">
        <v>195</v>
      </c>
      <c r="Z71" s="34">
        <f>Z37/'Income statement'!J12</f>
        <v>-8.9441160152289118E-2</v>
      </c>
      <c r="AA71" s="34">
        <f>AA37/'Income statement'!K12</f>
        <v>-6.1035214935299065E-2</v>
      </c>
      <c r="AB71" s="34">
        <f>AB37/'Income statement'!L12</f>
        <v>-6.4391696144181054E-2</v>
      </c>
      <c r="AC71" s="34">
        <f>AC37/'Income statement'!M12</f>
        <v>-5.2119700748129674E-2</v>
      </c>
      <c r="AD71" s="34">
        <f>AD37/'Income statement'!N12</f>
        <v>-6.0269804693617306E-2</v>
      </c>
      <c r="AE71" s="34">
        <f>AE37/'Income statement'!O12</f>
        <v>-0.21336790550273696</v>
      </c>
      <c r="AF71">
        <v>-0.09</v>
      </c>
      <c r="AG71">
        <v>-0.09</v>
      </c>
      <c r="AH71">
        <v>-0.09</v>
      </c>
      <c r="AI71">
        <v>-0.09</v>
      </c>
      <c r="AJ71">
        <v>-0.09</v>
      </c>
      <c r="AK71">
        <v>-0.09</v>
      </c>
      <c r="AL71">
        <v>-0.09</v>
      </c>
    </row>
    <row r="72" spans="25:38" x14ac:dyDescent="0.35">
      <c r="Y72" s="31" t="s">
        <v>197</v>
      </c>
      <c r="Z72" s="34">
        <f>Z38/'Income statement'!J12</f>
        <v>-0.15064378503510686</v>
      </c>
      <c r="AA72" s="34">
        <f>AA38/'Income statement'!K12</f>
        <v>-0.17950002003124874</v>
      </c>
      <c r="AB72" s="34">
        <f>AB38/'Income statement'!L12</f>
        <v>-6.9897722361829159E-2</v>
      </c>
      <c r="AC72" s="34">
        <f>AC38/'Income statement'!M12</f>
        <v>-7.1001068756679733E-2</v>
      </c>
      <c r="AD72" s="34">
        <f>AD38/'Income statement'!N12</f>
        <v>-8.0471598917201723E-2</v>
      </c>
      <c r="AE72" s="34">
        <f>AE38/'Income statement'!O12</f>
        <v>-0.18259867473350619</v>
      </c>
      <c r="AF72">
        <v>-0.12</v>
      </c>
      <c r="AG72">
        <v>-0.12</v>
      </c>
      <c r="AH72">
        <v>-0.12</v>
      </c>
      <c r="AI72">
        <v>-0.12</v>
      </c>
      <c r="AJ72">
        <v>-0.12</v>
      </c>
      <c r="AK72">
        <v>-0.12</v>
      </c>
      <c r="AL72">
        <v>-0.12</v>
      </c>
    </row>
    <row r="73" spans="25:38" x14ac:dyDescent="0.35">
      <c r="Y73" s="31" t="s">
        <v>198</v>
      </c>
      <c r="Z73" s="34">
        <f>Z39/'Income statement'!J12</f>
        <v>-9.8146128680479828E-3</v>
      </c>
      <c r="AA73" s="34">
        <f>AA39/'Income statement'!K12</f>
        <v>-1.0656624333960979E-2</v>
      </c>
      <c r="AB73" s="34">
        <f>AB39/'Income statement'!L12</f>
        <v>-1.4693407173839972E-2</v>
      </c>
      <c r="AC73" s="34">
        <f>AC39/'Income statement'!M12</f>
        <v>-1.0758817242607766E-2</v>
      </c>
      <c r="AD73" s="34">
        <f>AD39/'Income statement'!N12</f>
        <v>-3.2886641759323473E-2</v>
      </c>
      <c r="AE73" s="34">
        <f>AE39/'Income statement'!O12</f>
        <v>-1.7458945548833191E-2</v>
      </c>
      <c r="AF73">
        <v>-0.01</v>
      </c>
      <c r="AG73">
        <v>-0.01</v>
      </c>
      <c r="AH73">
        <v>-0.01</v>
      </c>
      <c r="AI73">
        <v>-0.01</v>
      </c>
      <c r="AJ73">
        <v>-0.01</v>
      </c>
      <c r="AK73">
        <v>-0.01</v>
      </c>
      <c r="AL73">
        <v>-0.01</v>
      </c>
    </row>
    <row r="74" spans="25:38" x14ac:dyDescent="0.35">
      <c r="Y74" s="31" t="s">
        <v>199</v>
      </c>
      <c r="Z74" s="34">
        <f>Z40/'Income statement'!J12</f>
        <v>-0.12724559490328877</v>
      </c>
      <c r="AA74" s="34">
        <f>AA40/'Income statement'!K12</f>
        <v>-0.13294739794078764</v>
      </c>
      <c r="AB74" s="34">
        <f>AB40/'Income statement'!L12</f>
        <v>-0.10463050402548138</v>
      </c>
      <c r="AC74" s="34">
        <f>AC40/'Income statement'!M12</f>
        <v>-0.16241539009618811</v>
      </c>
      <c r="AD74" s="34">
        <f>AD40/'Income statement'!N12</f>
        <v>-0.19579856372625787</v>
      </c>
      <c r="AE74" s="34">
        <f>AE40/'Income statement'!O12</f>
        <v>-0.12705272255834055</v>
      </c>
      <c r="AF74">
        <v>-0.14000000000000001</v>
      </c>
      <c r="AG74">
        <v>-0.14000000000000001</v>
      </c>
      <c r="AH74">
        <v>-0.14000000000000001</v>
      </c>
      <c r="AI74">
        <v>-0.14000000000000001</v>
      </c>
      <c r="AJ74">
        <v>-0.14000000000000001</v>
      </c>
      <c r="AK74">
        <v>-0.14000000000000001</v>
      </c>
      <c r="AL74">
        <v>-0.14000000000000001</v>
      </c>
    </row>
    <row r="75" spans="25:38" x14ac:dyDescent="0.35">
      <c r="Y75" s="31"/>
    </row>
    <row r="76" spans="25:38" x14ac:dyDescent="0.35">
      <c r="Y76" t="s">
        <v>180</v>
      </c>
      <c r="AA76" s="4">
        <f>AA11-Z11-('Income statement'!K20)</f>
        <v>356</v>
      </c>
      <c r="AB76" s="4">
        <f>AB11-AA11-('Income statement'!L20)</f>
        <v>3552</v>
      </c>
      <c r="AC76" s="4">
        <f>AC11-AB11-('Income statement'!M20)</f>
        <v>6118</v>
      </c>
      <c r="AD76" s="4">
        <f>AD11-AC11-('Income statement'!N20)</f>
        <v>7932</v>
      </c>
      <c r="AE76" s="4">
        <f>AE11-AD11-('Income statement'!O20)</f>
        <v>6271</v>
      </c>
      <c r="AF76" s="4">
        <f>AF77*'Income statement'!P10</f>
        <v>9349.4144256479995</v>
      </c>
      <c r="AG76" s="4">
        <f>AG77*'Income statement'!Q10</f>
        <v>7333.5035157120001</v>
      </c>
      <c r="AH76" s="4">
        <f>AH77*'Income statement'!R10</f>
        <v>7981.9396160486403</v>
      </c>
      <c r="AI76" s="4">
        <f>AI77*'Income statement'!S10</f>
        <v>8253.325562994296</v>
      </c>
      <c r="AJ76" s="4">
        <f>AJ77*'Income statement'!T10</f>
        <v>8960.635563742906</v>
      </c>
      <c r="AK76" s="4">
        <f>AK77*'Income statement'!U10</f>
        <v>7125.8387578336442</v>
      </c>
      <c r="AL76" s="4">
        <f>AL77*'Income statement'!V10</f>
        <v>7140.0904353493115</v>
      </c>
    </row>
    <row r="77" spans="25:38" x14ac:dyDescent="0.35">
      <c r="Y77" t="s">
        <v>176</v>
      </c>
      <c r="AA77" s="34">
        <f>AA76/'Income statement'!K10</f>
        <v>7.1994822844199963E-3</v>
      </c>
      <c r="AB77" s="34">
        <f>AB76/'Income statement'!L10</f>
        <v>5.6786570743405276E-2</v>
      </c>
      <c r="AC77" s="34">
        <f>AC76/'Income statement'!M10</f>
        <v>0.11053297199638663</v>
      </c>
      <c r="AD77" s="34">
        <f>AD76/'Income statement'!N10</f>
        <v>0.18255466052934408</v>
      </c>
      <c r="AE77" s="34">
        <f>AE76/'Income statement'!O10</f>
        <v>0.18512177121771217</v>
      </c>
      <c r="AF77">
        <v>0.12</v>
      </c>
      <c r="AG77">
        <v>0.12</v>
      </c>
      <c r="AH77">
        <v>0.12</v>
      </c>
      <c r="AI77">
        <v>0.12</v>
      </c>
      <c r="AJ77">
        <v>0.12</v>
      </c>
      <c r="AK77">
        <v>0.1</v>
      </c>
      <c r="AL77">
        <v>0.1</v>
      </c>
    </row>
    <row r="78" spans="25:38" x14ac:dyDescent="0.35">
      <c r="Y78" t="s">
        <v>177</v>
      </c>
      <c r="AA78" s="4">
        <f>AA23-Z23</f>
        <v>-1923</v>
      </c>
      <c r="AB78" s="4">
        <f>AB23-AA23</f>
        <v>8364</v>
      </c>
      <c r="AC78" s="4">
        <f>AC23-AB23</f>
        <v>-3043</v>
      </c>
      <c r="AD78" s="4">
        <f>AD23-AC23</f>
        <v>-853</v>
      </c>
      <c r="AE78" s="4">
        <f>AE23-AD23</f>
        <v>5521</v>
      </c>
    </row>
    <row r="79" spans="25:38" x14ac:dyDescent="0.35"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</row>
  </sheetData>
  <mergeCells count="10">
    <mergeCell ref="AF51:AJ51"/>
    <mergeCell ref="AK51:AL51"/>
    <mergeCell ref="A2:G2"/>
    <mergeCell ref="I2:O2"/>
    <mergeCell ref="Q2:W2"/>
    <mergeCell ref="Y2:AE2"/>
    <mergeCell ref="Z51:AE51"/>
    <mergeCell ref="Z4:AE4"/>
    <mergeCell ref="AF4:AJ4"/>
    <mergeCell ref="AK4:AL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165F6-6AE7-4615-AFBC-B5ABE6E12DD0}">
  <dimension ref="A1:N37"/>
  <sheetViews>
    <sheetView topLeftCell="A7" workbookViewId="0">
      <selection activeCell="F2" sqref="F2"/>
    </sheetView>
  </sheetViews>
  <sheetFormatPr defaultColWidth="11.54296875" defaultRowHeight="14.5" x14ac:dyDescent="0.35"/>
  <cols>
    <col min="1" max="1" width="45.6328125" customWidth="1"/>
  </cols>
  <sheetData>
    <row r="1" spans="1:14" x14ac:dyDescent="0.35">
      <c r="A1" s="1" t="s">
        <v>86</v>
      </c>
      <c r="B1" s="97" t="s">
        <v>42</v>
      </c>
      <c r="C1" s="97"/>
      <c r="D1" s="97"/>
      <c r="E1" s="97"/>
      <c r="F1" s="97"/>
      <c r="G1" s="97"/>
      <c r="H1" s="97" t="s">
        <v>46</v>
      </c>
      <c r="I1" s="97"/>
      <c r="J1" s="97"/>
      <c r="K1" s="97"/>
      <c r="L1" s="97"/>
      <c r="M1" s="97" t="s">
        <v>47</v>
      </c>
      <c r="N1" s="97"/>
    </row>
    <row r="3" spans="1:14" x14ac:dyDescent="0.35">
      <c r="B3">
        <v>-5</v>
      </c>
      <c r="C3">
        <v>-4</v>
      </c>
      <c r="D3">
        <v>-3</v>
      </c>
      <c r="E3">
        <v>-2</v>
      </c>
      <c r="F3">
        <v>-1</v>
      </c>
      <c r="G3">
        <v>0</v>
      </c>
      <c r="H3">
        <v>1</v>
      </c>
      <c r="I3">
        <v>2</v>
      </c>
      <c r="J3">
        <v>3</v>
      </c>
      <c r="K3">
        <v>4</v>
      </c>
      <c r="L3">
        <v>5</v>
      </c>
      <c r="M3">
        <v>6</v>
      </c>
      <c r="N3">
        <v>7</v>
      </c>
    </row>
    <row r="4" spans="1:14" x14ac:dyDescent="0.35">
      <c r="A4" s="2" t="s">
        <v>1</v>
      </c>
      <c r="B4" s="2">
        <v>2015</v>
      </c>
      <c r="C4" s="2">
        <v>2016</v>
      </c>
      <c r="D4" s="2">
        <v>2017</v>
      </c>
      <c r="E4" s="2">
        <v>2018</v>
      </c>
      <c r="F4" s="2">
        <v>2019</v>
      </c>
      <c r="G4" s="2">
        <v>2020</v>
      </c>
      <c r="H4" s="2">
        <v>2021</v>
      </c>
      <c r="I4" s="2">
        <v>2022</v>
      </c>
      <c r="J4" s="2">
        <v>2023</v>
      </c>
      <c r="K4" s="2">
        <v>2024</v>
      </c>
      <c r="L4" s="2">
        <v>2025</v>
      </c>
      <c r="M4" s="2">
        <v>2026</v>
      </c>
      <c r="N4" s="2">
        <v>2027</v>
      </c>
    </row>
    <row r="5" spans="1:14" x14ac:dyDescent="0.35">
      <c r="A5" t="s">
        <v>45</v>
      </c>
      <c r="B5" s="4"/>
      <c r="C5" s="4">
        <f>'Income statement'!K27</f>
        <v>-2580.5</v>
      </c>
      <c r="D5" s="4">
        <f>'Income statement'!L27</f>
        <v>7822.08</v>
      </c>
      <c r="E5" s="4">
        <f>'Income statement'!M27</f>
        <v>9312.08</v>
      </c>
      <c r="F5" s="4">
        <f>'Income statement'!N27</f>
        <v>7260.3</v>
      </c>
      <c r="G5" s="4">
        <f>'Income statement'!O27</f>
        <v>1181.6400000000001</v>
      </c>
      <c r="H5" s="4">
        <f>'Income statement'!P27</f>
        <v>9803.4078131037568</v>
      </c>
      <c r="I5" s="4">
        <f>'Income statement'!Q27</f>
        <v>6741.7509910069275</v>
      </c>
      <c r="J5" s="4">
        <f>'Income statement'!R27</f>
        <v>7673.5048152184163</v>
      </c>
      <c r="K5" s="4">
        <f>'Income statement'!S27</f>
        <v>7988.5300525646107</v>
      </c>
      <c r="L5" s="4">
        <f>'Income statement'!T27</f>
        <v>8927.1490689870388</v>
      </c>
      <c r="M5" s="4">
        <f>'Income statement'!U27</f>
        <v>8250.3982728544433</v>
      </c>
      <c r="N5" s="4">
        <f>'Income statement'!V27</f>
        <v>8265.4533767884459</v>
      </c>
    </row>
    <row r="6" spans="1:14" x14ac:dyDescent="0.35">
      <c r="A6" s="26" t="s">
        <v>168</v>
      </c>
      <c r="B6" s="4"/>
      <c r="C6" s="4">
        <f>-('Income statement'!K20+'Income statement'!K21)</f>
        <v>8260</v>
      </c>
      <c r="D6" s="4">
        <f>-('Income statement'!L20+'Income statement'!L21)</f>
        <v>4162</v>
      </c>
      <c r="E6" s="4">
        <f>-('Income statement'!M20+'Income statement'!M21)</f>
        <v>3734</v>
      </c>
      <c r="F6" s="4">
        <f>-('Income statement'!N20+'Income statement'!N21)</f>
        <v>3688</v>
      </c>
      <c r="G6" s="4">
        <f>-('Income statement'!O20+'Income statement'!O21)</f>
        <v>5445</v>
      </c>
      <c r="H6" s="4">
        <f>-('Income statement'!P20+'Income statement'!P21)</f>
        <v>5808.5</v>
      </c>
      <c r="I6" s="4">
        <f>-('Income statement'!Q20+'Income statement'!Q21)</f>
        <v>6135.8378948476793</v>
      </c>
      <c r="J6" s="4">
        <f>-('Income statement'!R20+'Income statement'!R21)</f>
        <v>6118.9732986090676</v>
      </c>
      <c r="K6" s="4">
        <f>-('Income statement'!S20+'Income statement'!S21)</f>
        <v>6236.8082680471625</v>
      </c>
      <c r="L6" s="4">
        <f>-('Income statement'!T20+'Income statement'!T21)</f>
        <v>6347.9660850894043</v>
      </c>
      <c r="M6" s="4">
        <f>-('Income statement'!U20+'Income statement'!U21)</f>
        <v>6505.5276047358602</v>
      </c>
      <c r="N6" s="4">
        <f>-('Income statement'!V20+'Income statement'!V21)</f>
        <v>6520.948147631515</v>
      </c>
    </row>
    <row r="7" spans="1:14" x14ac:dyDescent="0.35">
      <c r="A7" t="s">
        <v>156</v>
      </c>
      <c r="C7" s="4">
        <f>-(Balance!AA23-Balance!Z23)</f>
        <v>1923</v>
      </c>
      <c r="D7" s="4">
        <f>-(Balance!AB23-Balance!AA23)</f>
        <v>-8364</v>
      </c>
      <c r="E7" s="4">
        <f>-(Balance!AC23-Balance!AB23)</f>
        <v>3043</v>
      </c>
      <c r="F7" s="4">
        <f>-(Balance!AD23-Balance!AC23)</f>
        <v>853</v>
      </c>
      <c r="G7" s="4">
        <f>-(Balance!AE23-Balance!AD23)</f>
        <v>-5521</v>
      </c>
      <c r="H7" s="4">
        <f>-(Balance!AF23-Balance!AE23)</f>
        <v>4591.7836104165435</v>
      </c>
      <c r="I7" s="4">
        <f>-(Balance!AG23-Balance!AF23)</f>
        <v>278.33479099032593</v>
      </c>
      <c r="J7" s="4">
        <f>-(Balance!AH23-Balance!AG23)</f>
        <v>164.79859282648067</v>
      </c>
      <c r="K7" s="4">
        <f>-(Balance!AI23-Balance!AH23)</f>
        <v>3.6319290083429223</v>
      </c>
      <c r="L7" s="4">
        <f>-(Balance!AJ23-Balance!AI23)</f>
        <v>114.0771014940492</v>
      </c>
      <c r="M7" s="4">
        <f>-(Balance!AK23-Balance!AJ23)</f>
        <v>-177.80376645755314</v>
      </c>
      <c r="N7" s="4">
        <f>-(Balance!AL23-Balance!AK23)</f>
        <v>-6.4068960744589276</v>
      </c>
    </row>
    <row r="8" spans="1:14" x14ac:dyDescent="0.35">
      <c r="A8" s="15" t="s">
        <v>157</v>
      </c>
      <c r="B8" s="15"/>
      <c r="C8" s="16">
        <f>-(Balance!AA16+FCF!C6-Balance!Z16)</f>
        <v>-1273</v>
      </c>
      <c r="D8" s="16">
        <f>-(Balance!AB16+FCF!D6-Balance!AA16)</f>
        <v>-1503</v>
      </c>
      <c r="E8" s="16">
        <f>-(Balance!AC16+FCF!E6-Balance!AB16)</f>
        <v>-6483</v>
      </c>
      <c r="F8" s="16">
        <f>-(Balance!AD16+FCF!F6-Balance!AC16)</f>
        <v>-7465</v>
      </c>
      <c r="G8" s="16">
        <f>-(Balance!AE16+FCF!G6-Balance!AD16)</f>
        <v>-4400</v>
      </c>
      <c r="H8" s="16">
        <f>-(Balance!AF16+FCF!H6-Balance!AE16)</f>
        <v>-11665.362323161855</v>
      </c>
      <c r="I8" s="16">
        <f>-(Balance!AG16+FCF!I6-Balance!AF16)</f>
        <v>-7905.0393119673972</v>
      </c>
      <c r="J8" s="16">
        <f>-(Balance!AH16+FCF!J6-Balance!AG16)</f>
        <v>-7910.5102414798457</v>
      </c>
      <c r="K8" s="16">
        <f>-(Balance!AI16+FCF!K6-Balance!AH16)</f>
        <v>-8285.2717457757681</v>
      </c>
      <c r="L8" s="16">
        <f>-(Balance!AJ16+FCF!L6-Balance!AI16)</f>
        <v>-8911.7487329170544</v>
      </c>
      <c r="M8" s="16">
        <f>-(Balance!AK16+FCF!M6-Balance!AJ16)</f>
        <v>-7260.8210805501003</v>
      </c>
      <c r="N8" s="16">
        <f>-(Balance!AL16+FCF!N6-Balance!AK16)</f>
        <v>-7166.7069372938713</v>
      </c>
    </row>
    <row r="9" spans="1:14" x14ac:dyDescent="0.35">
      <c r="A9" s="1" t="s">
        <v>158</v>
      </c>
      <c r="B9" s="1"/>
      <c r="C9" s="5">
        <f>C5+C6+C7+C8</f>
        <v>6329.5</v>
      </c>
      <c r="D9" s="5">
        <f t="shared" ref="D9:F9" si="0">D5+D6+D7+D8</f>
        <v>2117.08</v>
      </c>
      <c r="E9" s="5">
        <f t="shared" si="0"/>
        <v>9606.08</v>
      </c>
      <c r="F9" s="5">
        <f t="shared" si="0"/>
        <v>4336.2999999999993</v>
      </c>
      <c r="G9" s="5">
        <f>G5+G6+G7+G8</f>
        <v>-3294.3599999999997</v>
      </c>
      <c r="H9" s="5">
        <f t="shared" ref="H9:N9" si="1">H5+H6+H7+H8</f>
        <v>8538.3291003584454</v>
      </c>
      <c r="I9" s="5">
        <f t="shared" si="1"/>
        <v>5250.8843648775346</v>
      </c>
      <c r="J9" s="5">
        <f t="shared" si="1"/>
        <v>6046.7664651741197</v>
      </c>
      <c r="K9" s="5">
        <f t="shared" si="1"/>
        <v>5943.6985038443472</v>
      </c>
      <c r="L9" s="5">
        <f t="shared" si="1"/>
        <v>6477.4435226534388</v>
      </c>
      <c r="M9" s="5">
        <f t="shared" si="1"/>
        <v>7317.3010305826501</v>
      </c>
      <c r="N9" s="5">
        <f t="shared" si="1"/>
        <v>7613.2876910516316</v>
      </c>
    </row>
    <row r="10" spans="1:14" x14ac:dyDescent="0.35">
      <c r="A10" t="s">
        <v>159</v>
      </c>
      <c r="C10" s="4">
        <f>Balance!AA42-Balance!AA41-(Balance!Z42-Balance!Z41)</f>
        <v>-5837</v>
      </c>
      <c r="D10" s="4">
        <f>Balance!AB42-Balance!AB41-(Balance!AA42-Balance!AA41)</f>
        <v>4357</v>
      </c>
      <c r="E10" s="4">
        <f>Balance!AC42-Balance!AC41-(Balance!AB42-Balance!AB41)</f>
        <v>2436</v>
      </c>
      <c r="F10" s="4">
        <f>Balance!AD42-Balance!AD41-(Balance!AC42-Balance!AC41)</f>
        <v>-7808</v>
      </c>
      <c r="G10" s="4">
        <f>Balance!AE42-Balance!AE41-(Balance!AD42-Balance!AD41)</f>
        <v>3164</v>
      </c>
      <c r="H10" s="4">
        <f>Balance!AF42-Balance!AF41-(Balance!AE42-Balance!AE41)</f>
        <v>-979.11999111269688</v>
      </c>
      <c r="I10" s="4">
        <f>Balance!AG42-Balance!AG41-(Balance!AF42-Balance!AF41)</f>
        <v>2391.461403980109</v>
      </c>
      <c r="J10" s="4">
        <f>Balance!AH42-Balance!AH41-(Balance!AG42-Balance!AG41)</f>
        <v>-123.98649380564166</v>
      </c>
      <c r="K10" s="4">
        <f>Balance!AI42-Balance!AI41-(Balance!AH42-Balance!AH41)</f>
        <v>289.05225814578444</v>
      </c>
      <c r="L10" s="4">
        <f>Balance!AJ42-Balance!AJ41-(Balance!AI42-Balance!AI41)</f>
        <v>7.0815583238509134</v>
      </c>
      <c r="M10" s="4">
        <f>Balance!AK42-Balance!AK41-(Balance!AJ42-Balance!AJ41)</f>
        <v>1231.4391518227276</v>
      </c>
      <c r="N10" s="4">
        <f>Balance!AL42-Balance!AL41-(Balance!AK42-Balance!AK41)</f>
        <v>300.61404801401659</v>
      </c>
    </row>
    <row r="11" spans="1:14" x14ac:dyDescent="0.35">
      <c r="A11" t="s">
        <v>163</v>
      </c>
      <c r="C11" s="4">
        <f>'Income statement'!K28</f>
        <v>0</v>
      </c>
      <c r="D11" s="4">
        <f>'Income statement'!L28</f>
        <v>0</v>
      </c>
      <c r="E11" s="4">
        <f>'Income statement'!M28</f>
        <v>-1696</v>
      </c>
      <c r="F11" s="4">
        <f>'Income statement'!N28</f>
        <v>3716</v>
      </c>
      <c r="G11" s="4">
        <f>'Income statement'!O28</f>
        <v>3958</v>
      </c>
      <c r="H11" s="4">
        <f>'Income statement'!P28</f>
        <v>2372.947823768528</v>
      </c>
      <c r="I11" s="4">
        <f>'Income statement'!Q28</f>
        <v>1861.2953085563454</v>
      </c>
      <c r="J11" s="4">
        <f>'Income statement'!R28</f>
        <v>2025.8729989971171</v>
      </c>
      <c r="K11" s="4">
        <f>'Income statement'!S28</f>
        <v>2094.752680963019</v>
      </c>
      <c r="L11" s="4">
        <f>'Income statement'!T28</f>
        <v>2274.27298572155</v>
      </c>
      <c r="M11" s="4">
        <f>'Income statement'!U28</f>
        <v>2170.306220659993</v>
      </c>
      <c r="N11" s="4">
        <f>'Income statement'!V28</f>
        <v>2174.646833101313</v>
      </c>
    </row>
    <row r="12" spans="1:14" x14ac:dyDescent="0.35">
      <c r="A12" t="s">
        <v>164</v>
      </c>
      <c r="C12" s="4">
        <f>'Income statement'!K29</f>
        <v>2847</v>
      </c>
      <c r="D12" s="4">
        <f>'Income statement'!L29</f>
        <v>-2079</v>
      </c>
      <c r="E12" s="4">
        <f>'Income statement'!M29</f>
        <v>-464</v>
      </c>
      <c r="F12" s="4">
        <f>'Income statement'!N29</f>
        <v>132</v>
      </c>
      <c r="G12" s="4">
        <f>'Income statement'!O29</f>
        <v>-1520</v>
      </c>
      <c r="H12" s="4">
        <f>'Income statement'!P29</f>
        <v>-1581.9652158456854</v>
      </c>
      <c r="I12" s="4">
        <f>'Income statement'!Q29</f>
        <v>-1240.8635390375637</v>
      </c>
      <c r="J12" s="4">
        <f>'Income statement'!R29</f>
        <v>-1350.5819993314115</v>
      </c>
      <c r="K12" s="4">
        <f>'Income statement'!S29</f>
        <v>-1396.5017873086795</v>
      </c>
      <c r="L12" s="4">
        <f>'Income statement'!T29</f>
        <v>-1516.1819904810334</v>
      </c>
      <c r="M12" s="4">
        <f>'Income statement'!U29</f>
        <v>-1446.8708137733286</v>
      </c>
      <c r="N12" s="4">
        <f>'Income statement'!V29</f>
        <v>-1449.7645554008755</v>
      </c>
    </row>
    <row r="13" spans="1:14" x14ac:dyDescent="0.35">
      <c r="A13" t="s">
        <v>165</v>
      </c>
      <c r="C13" s="4">
        <f>'Income statement'!K30</f>
        <v>-710</v>
      </c>
      <c r="D13" s="4">
        <f>'Income statement'!L30</f>
        <v>731</v>
      </c>
      <c r="E13" s="4">
        <f>'Income statement'!M30</f>
        <v>4876</v>
      </c>
      <c r="F13" s="4">
        <f>'Income statement'!N30</f>
        <v>600</v>
      </c>
      <c r="G13" s="4">
        <f>'Income statement'!O30</f>
        <v>-111</v>
      </c>
      <c r="H13" s="4">
        <f>'Income statement'!P30</f>
        <v>1277.94</v>
      </c>
      <c r="I13" s="4">
        <f>'Income statement'!Q30</f>
        <v>405.61290446577186</v>
      </c>
      <c r="J13" s="4">
        <f>'Income statement'!R30</f>
        <v>405.26197364150022</v>
      </c>
      <c r="K13" s="4">
        <f>'Income statement'!S30</f>
        <v>403.7313961047941</v>
      </c>
      <c r="L13" s="4">
        <f>'Income statement'!T30</f>
        <v>409.23572212489262</v>
      </c>
      <c r="M13" s="4">
        <f>'Income statement'!U30</f>
        <v>418.87917741743644</v>
      </c>
      <c r="N13" s="4">
        <f>'Income statement'!V30</f>
        <v>410.11691131703702</v>
      </c>
    </row>
    <row r="14" spans="1:14" x14ac:dyDescent="0.35">
      <c r="A14" s="12" t="s">
        <v>70</v>
      </c>
      <c r="B14" s="1"/>
      <c r="C14">
        <f>'Income statement'!K32</f>
        <v>-534.25</v>
      </c>
      <c r="D14">
        <f>'Income statement'!L32</f>
        <v>323.52</v>
      </c>
      <c r="E14">
        <f>'Income statement'!M32</f>
        <v>-624.68000000000006</v>
      </c>
      <c r="F14">
        <f>'Income statement'!N32</f>
        <v>-978.56000000000006</v>
      </c>
      <c r="G14">
        <f>'Income statement'!O32</f>
        <v>-511.94</v>
      </c>
      <c r="H14" s="34">
        <f>'Income statement'!P32</f>
        <v>-455.16297374302542</v>
      </c>
      <c r="I14" s="34">
        <f>'Income statement'!Q32</f>
        <v>-225.72982827660178</v>
      </c>
      <c r="J14" s="34">
        <f>'Income statement'!R32</f>
        <v>-237.72165412758528</v>
      </c>
      <c r="K14" s="34">
        <f>'Income statement'!S32</f>
        <v>-242.43610374700941</v>
      </c>
      <c r="L14" s="34">
        <f>'Income statement'!T32</f>
        <v>-256.81187782039001</v>
      </c>
      <c r="M14" s="34">
        <f>'Income statement'!U32</f>
        <v>-251.3092085469022</v>
      </c>
      <c r="N14" s="34">
        <f>'Income statement'!V32</f>
        <v>-249.6998215838444</v>
      </c>
    </row>
    <row r="15" spans="1:14" x14ac:dyDescent="0.35">
      <c r="A15" s="15" t="s">
        <v>92</v>
      </c>
      <c r="B15" s="15"/>
      <c r="C15" s="16">
        <f>'Income statement'!K34</f>
        <v>798.75</v>
      </c>
      <c r="D15" s="16">
        <f>'Income statement'!L34</f>
        <v>4932.3999999999996</v>
      </c>
      <c r="E15" s="16">
        <f>'Income statement'!M34</f>
        <v>1986.6</v>
      </c>
      <c r="F15" s="16">
        <f>'Income statement'!N34</f>
        <v>598.26</v>
      </c>
      <c r="G15" s="16">
        <f>'Income statement'!O34</f>
        <v>534.29999999999995</v>
      </c>
      <c r="H15" s="16">
        <f>'Income statement'!P34</f>
        <v>0</v>
      </c>
      <c r="I15" s="16">
        <f>'Income statement'!Q34</f>
        <v>0</v>
      </c>
      <c r="J15" s="16">
        <f>'Income statement'!R34</f>
        <v>0</v>
      </c>
      <c r="K15" s="16">
        <f>'Income statement'!S34</f>
        <v>0</v>
      </c>
      <c r="L15" s="16">
        <f>'Income statement'!T34</f>
        <v>0</v>
      </c>
      <c r="M15" s="16">
        <f>'Income statement'!U34</f>
        <v>0</v>
      </c>
      <c r="N15" s="16">
        <f>'Income statement'!V34</f>
        <v>0</v>
      </c>
    </row>
    <row r="16" spans="1:14" x14ac:dyDescent="0.35">
      <c r="A16" s="22" t="s">
        <v>160</v>
      </c>
      <c r="B16" s="1"/>
      <c r="C16" s="5">
        <f>C9+C10+C11+C12+C13+C14+C15</f>
        <v>2894</v>
      </c>
      <c r="D16" s="5">
        <f t="shared" ref="D16:F16" si="2">D9+D10+D11+D12+D13+D14+D15</f>
        <v>10382</v>
      </c>
      <c r="E16" s="5">
        <f t="shared" si="2"/>
        <v>16120</v>
      </c>
      <c r="F16" s="5">
        <f t="shared" si="2"/>
        <v>595.9999999999992</v>
      </c>
      <c r="G16" s="5">
        <f>G9+G10+G11+G12+G13+G14+G15</f>
        <v>2219</v>
      </c>
      <c r="H16" s="5">
        <f t="shared" ref="H16:N16" si="3">H9+H10+H11+H12+H13+H14+H15</f>
        <v>9172.9687434255684</v>
      </c>
      <c r="I16" s="5">
        <f t="shared" si="3"/>
        <v>8442.6606145655951</v>
      </c>
      <c r="J16" s="5">
        <f t="shared" si="3"/>
        <v>6765.6112905480977</v>
      </c>
      <c r="K16" s="5">
        <f t="shared" si="3"/>
        <v>7092.2969480022557</v>
      </c>
      <c r="L16" s="5">
        <f t="shared" si="3"/>
        <v>7395.0399205223093</v>
      </c>
      <c r="M16" s="5">
        <f>M9+M10+M11+M12+M13+M14+M15</f>
        <v>9439.7455581625782</v>
      </c>
      <c r="N16" s="5">
        <f t="shared" si="3"/>
        <v>8799.2011064992766</v>
      </c>
    </row>
    <row r="17" spans="1:14" x14ac:dyDescent="0.35">
      <c r="A17" s="31" t="s">
        <v>161</v>
      </c>
      <c r="C17" s="4">
        <f>-(Balance!Z31-Balance!AA31+'Income statement'!K35)</f>
        <v>-4642</v>
      </c>
      <c r="D17" s="4">
        <f>-(Balance!AA31-Balance!AB31+'Income statement'!L35)</f>
        <v>-3473</v>
      </c>
      <c r="E17" s="4">
        <f>-(Balance!AB31-Balance!AC31+'Income statement'!M35)</f>
        <v>-7162</v>
      </c>
      <c r="F17" s="4">
        <f>-(Balance!AC31-Balance!AD31+'Income statement'!N35)</f>
        <v>-8568</v>
      </c>
      <c r="G17" s="4">
        <f>-(Balance!AD31-Balance!AE31+'Income statement'!O35)</f>
        <v>-6267</v>
      </c>
      <c r="H17" s="4">
        <f>-(Balance!AE31-Balance!AF31+'Income statement'!P35)</f>
        <v>-9133.7339578268602</v>
      </c>
      <c r="I17" s="4">
        <f>-(Balance!AF31-Balance!AG31+'Income statement'!Q35)</f>
        <v>-6033.6526693718997</v>
      </c>
      <c r="J17" s="4">
        <f>-(Balance!AG31-Balance!AH31+'Income statement'!R35)</f>
        <v>-6813.0689075184364</v>
      </c>
      <c r="K17" s="4">
        <f>-(Balance!AH31-Balance!AI31+'Income statement'!S35)</f>
        <v>-7078.460990861382</v>
      </c>
      <c r="L17" s="4">
        <f>-(Balance!AI31-Balance!AJ31+'Income statement'!T35)</f>
        <v>-7870.1311268256632</v>
      </c>
      <c r="M17" s="4">
        <f>-(Balance!AJ31-Balance!AK31+'Income statement'!U35)</f>
        <v>-7770.193101319881</v>
      </c>
      <c r="N17" s="4">
        <f>-(Balance!AK31-Balance!AL31+'Income statement'!V35)</f>
        <v>-7778.1398325887731</v>
      </c>
    </row>
    <row r="18" spans="1:14" x14ac:dyDescent="0.35">
      <c r="A18" s="22" t="s">
        <v>162</v>
      </c>
      <c r="B18" s="1"/>
      <c r="C18" s="5">
        <f>C16+C17</f>
        <v>-1748</v>
      </c>
      <c r="D18" s="5">
        <f t="shared" ref="D18:N18" si="4">D16+D17</f>
        <v>6909</v>
      </c>
      <c r="E18" s="5">
        <f t="shared" si="4"/>
        <v>8958</v>
      </c>
      <c r="F18" s="5">
        <f t="shared" si="4"/>
        <v>-7972.0000000000009</v>
      </c>
      <c r="G18" s="5">
        <f t="shared" si="4"/>
        <v>-4048</v>
      </c>
      <c r="H18" s="5">
        <f t="shared" si="4"/>
        <v>39.234785598708186</v>
      </c>
      <c r="I18" s="5">
        <f t="shared" si="4"/>
        <v>2409.0079451936954</v>
      </c>
      <c r="J18" s="5">
        <f t="shared" si="4"/>
        <v>-47.457616970338677</v>
      </c>
      <c r="K18" s="5">
        <f t="shared" si="4"/>
        <v>13.835957140873688</v>
      </c>
      <c r="L18" s="5">
        <f t="shared" si="4"/>
        <v>-475.09120630335383</v>
      </c>
      <c r="M18" s="5">
        <f t="shared" si="4"/>
        <v>1669.5524568426972</v>
      </c>
      <c r="N18" s="5">
        <f t="shared" si="4"/>
        <v>1021.0612739105036</v>
      </c>
    </row>
    <row r="19" spans="1:14" x14ac:dyDescent="0.35">
      <c r="A19" s="31"/>
      <c r="F19" s="4"/>
      <c r="G19" s="4"/>
    </row>
    <row r="20" spans="1:14" x14ac:dyDescent="0.35">
      <c r="A20" s="22"/>
    </row>
    <row r="21" spans="1:14" x14ac:dyDescent="0.35">
      <c r="A21" s="31"/>
    </row>
    <row r="22" spans="1:14" x14ac:dyDescent="0.35">
      <c r="A22" s="31" t="s">
        <v>166</v>
      </c>
      <c r="C22" s="4">
        <f>-(Balance!Z41)</f>
        <v>9056</v>
      </c>
      <c r="D22" s="4">
        <f>-(Balance!AA41)</f>
        <v>7308</v>
      </c>
      <c r="E22" s="4">
        <f>-(Balance!AB41)</f>
        <v>14217</v>
      </c>
      <c r="F22" s="4">
        <f>-(Balance!AC41)</f>
        <v>23175</v>
      </c>
      <c r="G22" s="4">
        <f>-(Balance!AD41)</f>
        <v>15203</v>
      </c>
      <c r="H22" s="4">
        <f>G24</f>
        <v>11155</v>
      </c>
      <c r="I22" s="4">
        <f t="shared" ref="I22:N22" si="5">H24</f>
        <v>11194.234785598708</v>
      </c>
      <c r="J22" s="4">
        <f t="shared" si="5"/>
        <v>13603.242730792404</v>
      </c>
      <c r="K22" s="4">
        <f t="shared" si="5"/>
        <v>13555.785113822065</v>
      </c>
      <c r="L22" s="4">
        <f t="shared" si="5"/>
        <v>13569.621070962938</v>
      </c>
      <c r="M22" s="4">
        <f t="shared" si="5"/>
        <v>13094.529864659584</v>
      </c>
      <c r="N22" s="4">
        <f t="shared" si="5"/>
        <v>14764.082321502281</v>
      </c>
    </row>
    <row r="23" spans="1:14" x14ac:dyDescent="0.35">
      <c r="A23" s="31" t="s">
        <v>162</v>
      </c>
      <c r="C23" s="4">
        <f>C18</f>
        <v>-1748</v>
      </c>
      <c r="D23" s="4">
        <f t="shared" ref="D23:G23" si="6">D18</f>
        <v>6909</v>
      </c>
      <c r="E23" s="4">
        <f t="shared" si="6"/>
        <v>8958</v>
      </c>
      <c r="F23" s="4">
        <f t="shared" si="6"/>
        <v>-7972.0000000000009</v>
      </c>
      <c r="G23" s="4">
        <f t="shared" si="6"/>
        <v>-4048</v>
      </c>
      <c r="H23" s="4">
        <f>H18</f>
        <v>39.234785598708186</v>
      </c>
      <c r="I23" s="4">
        <f t="shared" ref="I23:N23" si="7">I18</f>
        <v>2409.0079451936954</v>
      </c>
      <c r="J23" s="4">
        <f t="shared" si="7"/>
        <v>-47.457616970338677</v>
      </c>
      <c r="K23" s="4">
        <f t="shared" si="7"/>
        <v>13.835957140873688</v>
      </c>
      <c r="L23" s="4">
        <f t="shared" si="7"/>
        <v>-475.09120630335383</v>
      </c>
      <c r="M23" s="4">
        <f t="shared" si="7"/>
        <v>1669.5524568426972</v>
      </c>
      <c r="N23" s="4">
        <f t="shared" si="7"/>
        <v>1021.0612739105036</v>
      </c>
    </row>
    <row r="24" spans="1:14" x14ac:dyDescent="0.35">
      <c r="A24" s="22" t="s">
        <v>167</v>
      </c>
      <c r="C24" s="5">
        <f>C22+C23</f>
        <v>7308</v>
      </c>
      <c r="D24" s="5">
        <f t="shared" ref="D24:G24" si="8">D22+D23</f>
        <v>14217</v>
      </c>
      <c r="E24" s="5">
        <f t="shared" si="8"/>
        <v>23175</v>
      </c>
      <c r="F24" s="5">
        <f t="shared" si="8"/>
        <v>15203</v>
      </c>
      <c r="G24" s="5">
        <f t="shared" si="8"/>
        <v>11155</v>
      </c>
      <c r="H24" s="5">
        <f>H22+H23</f>
        <v>11194.234785598708</v>
      </c>
      <c r="I24" s="5">
        <f t="shared" ref="I24:N24" si="9">I22+I23</f>
        <v>13603.242730792404</v>
      </c>
      <c r="J24" s="5">
        <f t="shared" si="9"/>
        <v>13555.785113822065</v>
      </c>
      <c r="K24" s="5">
        <f t="shared" si="9"/>
        <v>13569.621070962938</v>
      </c>
      <c r="L24" s="5">
        <f t="shared" si="9"/>
        <v>13094.529864659584</v>
      </c>
      <c r="M24" s="5">
        <f t="shared" si="9"/>
        <v>14764.082321502281</v>
      </c>
      <c r="N24" s="5">
        <f t="shared" si="9"/>
        <v>15785.143595412785</v>
      </c>
    </row>
    <row r="25" spans="1:14" x14ac:dyDescent="0.35">
      <c r="A25" s="31"/>
    </row>
    <row r="26" spans="1:14" x14ac:dyDescent="0.35">
      <c r="A26" s="22"/>
    </row>
    <row r="27" spans="1:14" x14ac:dyDescent="0.35">
      <c r="A27" s="31"/>
    </row>
    <row r="28" spans="1:14" x14ac:dyDescent="0.35">
      <c r="A28" s="1" t="s">
        <v>45</v>
      </c>
      <c r="C28" s="4">
        <f>C5</f>
        <v>-2580.5</v>
      </c>
      <c r="D28" s="4">
        <f t="shared" ref="D28:N28" si="10">D5</f>
        <v>7822.08</v>
      </c>
      <c r="E28" s="4">
        <f t="shared" si="10"/>
        <v>9312.08</v>
      </c>
      <c r="F28" s="4">
        <f t="shared" si="10"/>
        <v>7260.3</v>
      </c>
      <c r="G28" s="4">
        <f t="shared" si="10"/>
        <v>1181.6400000000001</v>
      </c>
      <c r="H28" s="4">
        <f t="shared" si="10"/>
        <v>9803.4078131037568</v>
      </c>
      <c r="I28" s="4">
        <f t="shared" si="10"/>
        <v>6741.7509910069275</v>
      </c>
      <c r="J28" s="4">
        <f t="shared" si="10"/>
        <v>7673.5048152184163</v>
      </c>
      <c r="K28" s="4">
        <f t="shared" si="10"/>
        <v>7988.5300525646107</v>
      </c>
      <c r="L28" s="4">
        <f t="shared" si="10"/>
        <v>8927.1490689870388</v>
      </c>
      <c r="M28" s="4">
        <f t="shared" si="10"/>
        <v>8250.3982728544433</v>
      </c>
      <c r="N28" s="4">
        <f t="shared" si="10"/>
        <v>8265.4533767884459</v>
      </c>
    </row>
    <row r="29" spans="1:14" x14ac:dyDescent="0.35">
      <c r="A29" s="15" t="s">
        <v>202</v>
      </c>
      <c r="B29" s="15"/>
      <c r="C29" s="16">
        <f>-(Balance!AA24-Balance!Z24)</f>
        <v>8910</v>
      </c>
      <c r="D29" s="16">
        <f>-(Balance!AB24-Balance!AA24)</f>
        <v>-5705</v>
      </c>
      <c r="E29" s="16">
        <f>-(Balance!AC24-Balance!AB24)</f>
        <v>294</v>
      </c>
      <c r="F29" s="16">
        <f>-(Balance!AD24-Balance!AC24)</f>
        <v>-2924</v>
      </c>
      <c r="G29" s="16">
        <f>-(Balance!AE24-Balance!AD24)</f>
        <v>-4476</v>
      </c>
      <c r="H29" s="16">
        <f>-(Balance!AF24-Balance!AE24)</f>
        <v>-1265.0787127453077</v>
      </c>
      <c r="I29" s="16">
        <f>-(Balance!AG24-Balance!AF24)</f>
        <v>-1490.8666261293984</v>
      </c>
      <c r="J29" s="16">
        <f>-(Balance!AH24-Balance!AG24)</f>
        <v>-1626.7383500442957</v>
      </c>
      <c r="K29" s="16">
        <f>-(Balance!AI24-Balance!AH24)</f>
        <v>-2044.8315487202781</v>
      </c>
      <c r="L29" s="16">
        <f>-(Balance!AJ24-Balance!AI24)</f>
        <v>-2449.7055463335855</v>
      </c>
      <c r="M29" s="16">
        <f>-(Balance!AK24-Balance!AJ24)</f>
        <v>-933.09724227178958</v>
      </c>
      <c r="N29" s="16">
        <f>-(Balance!AL24-Balance!AK24)</f>
        <v>-652.16568573680706</v>
      </c>
    </row>
    <row r="30" spans="1:14" x14ac:dyDescent="0.35">
      <c r="A30" t="s">
        <v>158</v>
      </c>
      <c r="C30" s="4">
        <f>C28+C29</f>
        <v>6329.5</v>
      </c>
      <c r="D30" s="4">
        <f t="shared" ref="D30:N30" si="11">D28+D29</f>
        <v>2117.08</v>
      </c>
      <c r="E30" s="4">
        <f t="shared" si="11"/>
        <v>9606.08</v>
      </c>
      <c r="F30" s="4">
        <f t="shared" si="11"/>
        <v>4336.3</v>
      </c>
      <c r="G30" s="4">
        <f t="shared" si="11"/>
        <v>-3294.3599999999997</v>
      </c>
      <c r="H30" s="4">
        <f t="shared" si="11"/>
        <v>8538.3291003584491</v>
      </c>
      <c r="I30" s="4">
        <f t="shared" si="11"/>
        <v>5250.8843648775292</v>
      </c>
      <c r="J30" s="4">
        <f t="shared" si="11"/>
        <v>6046.7664651741206</v>
      </c>
      <c r="K30" s="4">
        <f t="shared" si="11"/>
        <v>5943.6985038443327</v>
      </c>
      <c r="L30" s="4">
        <f t="shared" si="11"/>
        <v>6477.4435226534533</v>
      </c>
      <c r="M30" s="4">
        <f t="shared" si="11"/>
        <v>7317.3010305826538</v>
      </c>
      <c r="N30" s="4">
        <f t="shared" si="11"/>
        <v>7613.2876910516388</v>
      </c>
    </row>
    <row r="33" spans="1:1" x14ac:dyDescent="0.35">
      <c r="A33" s="1"/>
    </row>
    <row r="35" spans="1:1" x14ac:dyDescent="0.35">
      <c r="A35" s="1"/>
    </row>
    <row r="37" spans="1:1" x14ac:dyDescent="0.35">
      <c r="A37" s="1"/>
    </row>
  </sheetData>
  <mergeCells count="3">
    <mergeCell ref="B1:G1"/>
    <mergeCell ref="H1:L1"/>
    <mergeCell ref="M1:N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EF993-AB1F-4055-816B-0A22E90575F8}">
  <dimension ref="B1:S54"/>
  <sheetViews>
    <sheetView tabSelected="1" topLeftCell="A7" workbookViewId="0">
      <selection activeCell="K20" sqref="K20"/>
    </sheetView>
  </sheetViews>
  <sheetFormatPr defaultColWidth="11.54296875" defaultRowHeight="14.5" x14ac:dyDescent="0.35"/>
  <cols>
    <col min="2" max="2" width="25.81640625" customWidth="1"/>
    <col min="3" max="3" width="11.08984375" customWidth="1"/>
    <col min="4" max="4" width="9.36328125" customWidth="1"/>
    <col min="5" max="5" width="9.6328125" customWidth="1"/>
    <col min="6" max="6" width="9.90625" customWidth="1"/>
    <col min="7" max="7" width="9.6328125" customWidth="1"/>
    <col min="8" max="8" width="9.453125" customWidth="1"/>
    <col min="9" max="9" width="9.08984375" customWidth="1"/>
    <col min="10" max="10" width="15.90625" customWidth="1"/>
    <col min="11" max="11" width="6.81640625" customWidth="1"/>
    <col min="12" max="12" width="8" customWidth="1"/>
    <col min="18" max="18" width="14.36328125" bestFit="1" customWidth="1"/>
  </cols>
  <sheetData>
    <row r="1" spans="2:19" x14ac:dyDescent="0.35">
      <c r="M1" s="45"/>
      <c r="N1" s="45"/>
      <c r="O1" s="45"/>
      <c r="P1" s="45"/>
      <c r="Q1" s="45"/>
      <c r="R1" s="45"/>
      <c r="S1" s="45"/>
    </row>
    <row r="3" spans="2:19" ht="15" thickBot="1" x14ac:dyDescent="0.4"/>
    <row r="4" spans="2:19" x14ac:dyDescent="0.35">
      <c r="B4" s="76" t="s">
        <v>1</v>
      </c>
      <c r="C4" s="77">
        <v>2021</v>
      </c>
      <c r="D4" s="77">
        <v>2022</v>
      </c>
      <c r="E4" s="77">
        <v>2023</v>
      </c>
      <c r="F4" s="77">
        <v>2024</v>
      </c>
      <c r="G4" s="77">
        <v>2025</v>
      </c>
      <c r="H4" s="77">
        <v>2026</v>
      </c>
      <c r="I4" s="78">
        <v>2027</v>
      </c>
    </row>
    <row r="5" spans="2:19" x14ac:dyDescent="0.35">
      <c r="B5" s="48" t="s">
        <v>160</v>
      </c>
      <c r="C5" s="4">
        <f>FCF!H16</f>
        <v>9172.9687434255684</v>
      </c>
      <c r="D5" s="4">
        <f>FCF!I16</f>
        <v>8442.6606145655951</v>
      </c>
      <c r="E5" s="4">
        <f>FCF!J16</f>
        <v>6765.6112905480977</v>
      </c>
      <c r="F5" s="4">
        <f>FCF!K16</f>
        <v>7092.2969480022557</v>
      </c>
      <c r="G5" s="4">
        <f>FCF!L16</f>
        <v>7395.0399205223093</v>
      </c>
      <c r="H5" s="4">
        <f>FCF!M16</f>
        <v>9439.7455581625782</v>
      </c>
      <c r="I5" s="79">
        <f>FCF!N16</f>
        <v>8799.2011064992766</v>
      </c>
    </row>
    <row r="6" spans="2:19" x14ac:dyDescent="0.35">
      <c r="B6" s="48" t="s">
        <v>161</v>
      </c>
      <c r="C6" s="4">
        <f>Balance!AF58</f>
        <v>9133.7339578268602</v>
      </c>
      <c r="D6" s="4">
        <f>Balance!AG58</f>
        <v>6033.6526693719043</v>
      </c>
      <c r="E6" s="4">
        <f>Balance!AH58</f>
        <v>6813.0689075184309</v>
      </c>
      <c r="F6" s="4">
        <f>Balance!AI58</f>
        <v>7078.4609908613875</v>
      </c>
      <c r="G6" s="4">
        <f>Balance!AJ58</f>
        <v>7870.1311268256468</v>
      </c>
      <c r="H6" s="4">
        <f>Balance!AK58</f>
        <v>7770.1931013198955</v>
      </c>
      <c r="I6" s="79">
        <f>Balance!AL58</f>
        <v>7778.1398325887649</v>
      </c>
    </row>
    <row r="7" spans="2:19" x14ac:dyDescent="0.35">
      <c r="B7" s="48" t="s">
        <v>201</v>
      </c>
      <c r="C7" s="27">
        <v>0.06</v>
      </c>
      <c r="D7" s="27"/>
      <c r="E7" s="27"/>
      <c r="F7" s="27"/>
      <c r="G7" s="27"/>
      <c r="I7" s="53"/>
    </row>
    <row r="8" spans="2:19" x14ac:dyDescent="0.35">
      <c r="B8" s="48" t="s">
        <v>212</v>
      </c>
      <c r="C8" s="9">
        <v>5.2499999999999998E-2</v>
      </c>
      <c r="I8" s="53"/>
    </row>
    <row r="9" spans="2:19" ht="15" thickBot="1" x14ac:dyDescent="0.4">
      <c r="B9" s="80" t="s">
        <v>213</v>
      </c>
      <c r="C9" s="81">
        <v>0.02</v>
      </c>
      <c r="D9" s="57"/>
      <c r="E9" s="57"/>
      <c r="F9" s="57"/>
      <c r="G9" s="57"/>
      <c r="H9" s="57"/>
      <c r="I9" s="58"/>
    </row>
    <row r="10" spans="2:19" ht="15" thickBot="1" x14ac:dyDescent="0.4"/>
    <row r="11" spans="2:19" x14ac:dyDescent="0.35">
      <c r="B11" s="44"/>
      <c r="C11" s="64">
        <v>1</v>
      </c>
      <c r="D11" s="64">
        <v>2</v>
      </c>
      <c r="E11" s="64">
        <v>3</v>
      </c>
      <c r="F11" s="64">
        <v>4</v>
      </c>
      <c r="G11" s="64">
        <v>5</v>
      </c>
      <c r="H11" s="64">
        <v>6</v>
      </c>
      <c r="I11" s="72">
        <v>7</v>
      </c>
      <c r="J11" s="69"/>
    </row>
    <row r="12" spans="2:19" x14ac:dyDescent="0.35">
      <c r="B12" s="47" t="s">
        <v>216</v>
      </c>
      <c r="C12" s="101" t="s">
        <v>203</v>
      </c>
      <c r="D12" s="101"/>
      <c r="E12" s="101"/>
      <c r="F12" s="101"/>
      <c r="G12" s="101"/>
      <c r="H12" s="101" t="s">
        <v>204</v>
      </c>
      <c r="I12" s="102"/>
      <c r="J12" s="59"/>
    </row>
    <row r="13" spans="2:19" x14ac:dyDescent="0.35">
      <c r="B13" s="48"/>
      <c r="C13" s="59">
        <v>2021</v>
      </c>
      <c r="D13" s="59">
        <v>2022</v>
      </c>
      <c r="E13" s="59">
        <v>2023</v>
      </c>
      <c r="F13" s="59">
        <v>2024</v>
      </c>
      <c r="G13" s="59">
        <v>2025</v>
      </c>
      <c r="H13" s="59">
        <v>2026</v>
      </c>
      <c r="I13" s="49">
        <v>2027</v>
      </c>
      <c r="J13" s="50"/>
    </row>
    <row r="14" spans="2:19" x14ac:dyDescent="0.35">
      <c r="B14" s="48" t="s">
        <v>161</v>
      </c>
      <c r="C14" s="50">
        <f t="shared" ref="C14:I14" si="0">C6</f>
        <v>9133.7339578268602</v>
      </c>
      <c r="D14" s="50">
        <f t="shared" si="0"/>
        <v>6033.6526693719043</v>
      </c>
      <c r="E14" s="50">
        <f t="shared" si="0"/>
        <v>6813.0689075184309</v>
      </c>
      <c r="F14" s="50">
        <f t="shared" si="0"/>
        <v>7078.4609908613875</v>
      </c>
      <c r="G14" s="50">
        <f t="shared" si="0"/>
        <v>7870.1311268256468</v>
      </c>
      <c r="H14" s="50">
        <f t="shared" si="0"/>
        <v>7770.1931013198955</v>
      </c>
      <c r="I14" s="51">
        <f t="shared" si="0"/>
        <v>7778.1398325887649</v>
      </c>
    </row>
    <row r="15" spans="2:19" ht="14.4" customHeight="1" x14ac:dyDescent="0.35">
      <c r="B15" s="52" t="s">
        <v>205</v>
      </c>
      <c r="C15" s="9">
        <v>0.06</v>
      </c>
      <c r="D15" s="9">
        <v>0.06</v>
      </c>
      <c r="E15" s="9">
        <v>0.06</v>
      </c>
      <c r="F15" s="9">
        <v>0.06</v>
      </c>
      <c r="G15" s="9">
        <v>0.06</v>
      </c>
      <c r="H15" s="9">
        <v>0.06</v>
      </c>
      <c r="I15" s="65"/>
    </row>
    <row r="16" spans="2:19" x14ac:dyDescent="0.35">
      <c r="B16" s="48" t="s">
        <v>206</v>
      </c>
      <c r="C16" s="60">
        <f>1/(1+C15)^C11</f>
        <v>0.94339622641509424</v>
      </c>
      <c r="D16" s="60">
        <f t="shared" ref="D16:H16" si="1">1/(1+D15)^D11</f>
        <v>0.88999644001423983</v>
      </c>
      <c r="E16" s="60">
        <f t="shared" si="1"/>
        <v>0.8396192830323016</v>
      </c>
      <c r="F16" s="60">
        <f t="shared" si="1"/>
        <v>0.79209366323802044</v>
      </c>
      <c r="G16" s="60">
        <f t="shared" si="1"/>
        <v>0.74725817286605689</v>
      </c>
      <c r="H16" s="60">
        <f t="shared" si="1"/>
        <v>0.70496054043967626</v>
      </c>
      <c r="I16" s="66"/>
    </row>
    <row r="17" spans="2:10" x14ac:dyDescent="0.35">
      <c r="B17" s="48" t="s">
        <v>207</v>
      </c>
      <c r="H17" s="63">
        <f>I14/(H15-0.02)</f>
        <v>194453.49581471915</v>
      </c>
      <c r="I17" s="67"/>
    </row>
    <row r="18" spans="2:10" x14ac:dyDescent="0.35">
      <c r="B18" s="48" t="s">
        <v>208</v>
      </c>
      <c r="H18" s="63">
        <f>H17*H16</f>
        <v>137082.04149992875</v>
      </c>
      <c r="I18" s="68"/>
    </row>
    <row r="19" spans="2:10" x14ac:dyDescent="0.35">
      <c r="B19" s="48" t="s">
        <v>214</v>
      </c>
      <c r="C19" s="61">
        <f t="shared" ref="C19:H19" si="2">C14*C16</f>
        <v>8616.7301488932626</v>
      </c>
      <c r="D19" s="61">
        <f t="shared" si="2"/>
        <v>5369.9293960234099</v>
      </c>
      <c r="E19" s="61">
        <f t="shared" si="2"/>
        <v>5720.3840313802912</v>
      </c>
      <c r="F19" s="61">
        <f t="shared" si="2"/>
        <v>5606.8040963388239</v>
      </c>
      <c r="G19" s="61">
        <f t="shared" si="2"/>
        <v>5881.0198060480143</v>
      </c>
      <c r="H19" s="61">
        <f t="shared" si="2"/>
        <v>5477.6795280271181</v>
      </c>
      <c r="I19" s="68"/>
    </row>
    <row r="20" spans="2:10" ht="15" thickBot="1" x14ac:dyDescent="0.4">
      <c r="B20" s="55" t="s">
        <v>215</v>
      </c>
      <c r="C20" s="56">
        <f>C19+D19+E19+F19+G19+H19+H18</f>
        <v>173754.58850663967</v>
      </c>
      <c r="D20" s="57"/>
      <c r="E20" s="57"/>
      <c r="F20" s="57"/>
      <c r="G20" s="57"/>
      <c r="H20" s="57"/>
      <c r="I20" s="58"/>
    </row>
    <row r="21" spans="2:10" x14ac:dyDescent="0.35">
      <c r="C21" s="4"/>
    </row>
    <row r="23" spans="2:10" ht="15" thickBot="1" x14ac:dyDescent="0.4">
      <c r="I23" s="27"/>
    </row>
    <row r="24" spans="2:10" x14ac:dyDescent="0.35">
      <c r="B24" s="44"/>
      <c r="C24" s="64">
        <v>1</v>
      </c>
      <c r="D24" s="64">
        <v>2</v>
      </c>
      <c r="E24" s="64">
        <v>3</v>
      </c>
      <c r="F24" s="64">
        <v>4</v>
      </c>
      <c r="G24" s="64">
        <v>5</v>
      </c>
      <c r="H24" s="64">
        <v>6</v>
      </c>
      <c r="I24" s="72">
        <v>7</v>
      </c>
    </row>
    <row r="25" spans="2:10" x14ac:dyDescent="0.35">
      <c r="B25" s="47" t="s">
        <v>160</v>
      </c>
      <c r="C25" s="101" t="s">
        <v>203</v>
      </c>
      <c r="D25" s="101"/>
      <c r="E25" s="101"/>
      <c r="F25" s="101"/>
      <c r="G25" s="101"/>
      <c r="H25" s="101" t="s">
        <v>204</v>
      </c>
      <c r="I25" s="102"/>
      <c r="J25" s="69"/>
    </row>
    <row r="26" spans="2:10" x14ac:dyDescent="0.35">
      <c r="B26" s="48"/>
      <c r="C26" s="59">
        <v>2021</v>
      </c>
      <c r="D26" s="59">
        <v>2022</v>
      </c>
      <c r="E26" s="59">
        <v>2023</v>
      </c>
      <c r="F26" s="59">
        <v>2024</v>
      </c>
      <c r="G26" s="59">
        <v>2025</v>
      </c>
      <c r="H26" s="59">
        <v>2026</v>
      </c>
      <c r="I26" s="49">
        <v>2027</v>
      </c>
      <c r="J26" s="59"/>
    </row>
    <row r="27" spans="2:10" x14ac:dyDescent="0.35">
      <c r="B27" s="52" t="s">
        <v>160</v>
      </c>
      <c r="C27" s="50">
        <f t="shared" ref="C27:I27" si="3">C5</f>
        <v>9172.9687434255684</v>
      </c>
      <c r="D27" s="50">
        <f t="shared" si="3"/>
        <v>8442.6606145655951</v>
      </c>
      <c r="E27" s="50">
        <f t="shared" si="3"/>
        <v>6765.6112905480977</v>
      </c>
      <c r="F27" s="50">
        <f t="shared" si="3"/>
        <v>7092.2969480022557</v>
      </c>
      <c r="G27" s="50">
        <f t="shared" si="3"/>
        <v>7395.0399205223093</v>
      </c>
      <c r="H27" s="50">
        <f t="shared" si="3"/>
        <v>9439.7455581625782</v>
      </c>
      <c r="I27" s="51">
        <f t="shared" si="3"/>
        <v>8799.2011064992766</v>
      </c>
      <c r="J27" s="50"/>
    </row>
    <row r="28" spans="2:10" x14ac:dyDescent="0.35">
      <c r="B28" s="52" t="s">
        <v>205</v>
      </c>
      <c r="C28" s="9">
        <v>0.06</v>
      </c>
      <c r="D28" s="9">
        <v>0.06</v>
      </c>
      <c r="E28" s="9">
        <v>0.06</v>
      </c>
      <c r="F28" s="9">
        <v>0.06</v>
      </c>
      <c r="G28" s="9">
        <v>0.06</v>
      </c>
      <c r="H28" s="9">
        <v>0.06</v>
      </c>
      <c r="I28" s="53"/>
    </row>
    <row r="29" spans="2:10" x14ac:dyDescent="0.35">
      <c r="B29" s="48" t="s">
        <v>206</v>
      </c>
      <c r="C29" s="60">
        <f>1/(1+C28)^C24</f>
        <v>0.94339622641509424</v>
      </c>
      <c r="D29" s="60">
        <f t="shared" ref="D29:H29" si="4">1/(1+D28)^D24</f>
        <v>0.88999644001423983</v>
      </c>
      <c r="E29" s="60">
        <f t="shared" si="4"/>
        <v>0.8396192830323016</v>
      </c>
      <c r="F29" s="60">
        <f t="shared" si="4"/>
        <v>0.79209366323802044</v>
      </c>
      <c r="G29" s="60">
        <f t="shared" si="4"/>
        <v>0.74725817286605689</v>
      </c>
      <c r="H29" s="60">
        <f t="shared" si="4"/>
        <v>0.70496054043967626</v>
      </c>
      <c r="I29" s="66"/>
    </row>
    <row r="30" spans="2:10" x14ac:dyDescent="0.35">
      <c r="B30" s="48" t="s">
        <v>222</v>
      </c>
      <c r="H30" s="54">
        <f>I27/(H28-0.02)</f>
        <v>219980.02766248194</v>
      </c>
      <c r="I30" s="53"/>
    </row>
    <row r="31" spans="2:10" x14ac:dyDescent="0.35">
      <c r="B31" s="48" t="s">
        <v>208</v>
      </c>
      <c r="H31" s="61">
        <f>H30*H29</f>
        <v>155077.2391868782</v>
      </c>
      <c r="I31" s="53"/>
    </row>
    <row r="32" spans="2:10" x14ac:dyDescent="0.35">
      <c r="B32" s="48" t="s">
        <v>214</v>
      </c>
      <c r="C32" s="61">
        <f>C27*C29</f>
        <v>8653.7440975712907</v>
      </c>
      <c r="D32" s="61">
        <f t="shared" ref="D32:H32" si="5">D27*D29</f>
        <v>7513.9378912118136</v>
      </c>
      <c r="E32" s="61">
        <f t="shared" si="5"/>
        <v>5680.5377010452385</v>
      </c>
      <c r="F32" s="61">
        <f t="shared" si="5"/>
        <v>5617.7634703149388</v>
      </c>
      <c r="G32" s="61">
        <f t="shared" si="5"/>
        <v>5526.0040192810511</v>
      </c>
      <c r="H32" s="61">
        <f t="shared" si="5"/>
        <v>6654.6481302953243</v>
      </c>
      <c r="I32" s="68"/>
    </row>
    <row r="33" spans="2:12" ht="15" thickBot="1" x14ac:dyDescent="0.4">
      <c r="B33" s="55" t="s">
        <v>209</v>
      </c>
      <c r="C33" s="56">
        <f>C32+D32+E32+F32+G32+H32+H31</f>
        <v>194723.87449659785</v>
      </c>
      <c r="D33" s="57"/>
      <c r="E33" s="57"/>
      <c r="F33" s="57"/>
      <c r="G33" s="57"/>
      <c r="H33" s="57"/>
      <c r="I33" s="58"/>
    </row>
    <row r="35" spans="2:12" x14ac:dyDescent="0.35">
      <c r="B35" s="1"/>
      <c r="C35" s="1"/>
      <c r="D35" s="1"/>
      <c r="E35" s="1"/>
      <c r="F35" s="1"/>
      <c r="G35" s="1"/>
      <c r="H35" s="1"/>
      <c r="I35" s="1"/>
    </row>
    <row r="36" spans="2:12" x14ac:dyDescent="0.35">
      <c r="C36" s="5"/>
      <c r="D36" s="5"/>
      <c r="E36" s="5"/>
      <c r="F36" s="1"/>
      <c r="G36" s="75"/>
      <c r="H36" s="32"/>
      <c r="I36" s="5"/>
    </row>
    <row r="37" spans="2:12" x14ac:dyDescent="0.35">
      <c r="C37" s="9"/>
      <c r="L37" s="32"/>
    </row>
    <row r="38" spans="2:12" x14ac:dyDescent="0.35">
      <c r="L38" s="9"/>
    </row>
    <row r="39" spans="2:12" ht="14.4" customHeight="1" x14ac:dyDescent="0.35">
      <c r="B39" s="69"/>
      <c r="C39" s="69"/>
      <c r="I39" s="69"/>
      <c r="L39" s="9"/>
    </row>
    <row r="40" spans="2:12" x14ac:dyDescent="0.35">
      <c r="C40" s="59"/>
      <c r="I40" s="59"/>
      <c r="L40" s="9"/>
    </row>
    <row r="41" spans="2:12" x14ac:dyDescent="0.35">
      <c r="C41" s="63"/>
      <c r="I41" s="63"/>
      <c r="L41" s="9"/>
    </row>
    <row r="42" spans="2:12" x14ac:dyDescent="0.35">
      <c r="C42" s="9"/>
      <c r="K42" s="74"/>
      <c r="L42" s="34"/>
    </row>
    <row r="43" spans="2:12" x14ac:dyDescent="0.35">
      <c r="C43" s="60"/>
      <c r="I43" s="60"/>
      <c r="K43" s="74"/>
      <c r="L43" s="34"/>
    </row>
    <row r="44" spans="2:12" x14ac:dyDescent="0.35">
      <c r="I44" s="54"/>
      <c r="L44" s="34"/>
    </row>
    <row r="45" spans="2:12" x14ac:dyDescent="0.35">
      <c r="I45" s="61"/>
      <c r="L45" s="34"/>
    </row>
    <row r="46" spans="2:12" x14ac:dyDescent="0.35">
      <c r="C46" s="61"/>
      <c r="I46" s="61"/>
      <c r="L46" s="34"/>
    </row>
    <row r="47" spans="2:12" x14ac:dyDescent="0.35">
      <c r="C47" s="61"/>
      <c r="L47" s="34"/>
    </row>
    <row r="48" spans="2:12" x14ac:dyDescent="0.35">
      <c r="B48" s="70"/>
      <c r="C48" s="50"/>
      <c r="L48" s="34"/>
    </row>
    <row r="49" spans="2:12" x14ac:dyDescent="0.35">
      <c r="B49" s="1"/>
      <c r="C49" s="71"/>
      <c r="L49" s="34"/>
    </row>
    <row r="50" spans="2:12" ht="14.4" customHeight="1" x14ac:dyDescent="0.35">
      <c r="K50" s="74"/>
      <c r="L50" s="34"/>
    </row>
    <row r="51" spans="2:12" x14ac:dyDescent="0.35">
      <c r="K51" s="74"/>
      <c r="L51" s="34"/>
    </row>
    <row r="52" spans="2:12" x14ac:dyDescent="0.35">
      <c r="K52" s="74"/>
      <c r="L52" s="34"/>
    </row>
    <row r="53" spans="2:12" x14ac:dyDescent="0.35">
      <c r="K53" s="74"/>
      <c r="L53" s="34"/>
    </row>
    <row r="54" spans="2:12" x14ac:dyDescent="0.35">
      <c r="K54" s="74"/>
      <c r="L54" s="34"/>
    </row>
  </sheetData>
  <mergeCells count="4">
    <mergeCell ref="C12:G12"/>
    <mergeCell ref="H12:I12"/>
    <mergeCell ref="C25:G25"/>
    <mergeCell ref="H25:I25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666AA-E1A5-4AFF-829B-CE7ED58A2D15}">
  <dimension ref="A2:V31"/>
  <sheetViews>
    <sheetView topLeftCell="J4" workbookViewId="0">
      <selection activeCell="R20" sqref="R20"/>
    </sheetView>
  </sheetViews>
  <sheetFormatPr defaultRowHeight="14.5" x14ac:dyDescent="0.35"/>
  <cols>
    <col min="1" max="1" width="13.6328125" customWidth="1"/>
  </cols>
  <sheetData>
    <row r="2" spans="2:22" ht="15" thickBot="1" x14ac:dyDescent="0.4"/>
    <row r="3" spans="2:22" x14ac:dyDescent="0.35">
      <c r="B3" s="44"/>
      <c r="C3" s="45"/>
      <c r="D3" s="45"/>
      <c r="E3" s="77" t="s">
        <v>216</v>
      </c>
      <c r="F3" s="77"/>
      <c r="G3" s="77"/>
      <c r="H3" s="46"/>
      <c r="K3" s="44"/>
      <c r="L3" s="110" t="s">
        <v>216</v>
      </c>
      <c r="M3" s="110"/>
      <c r="N3" s="110"/>
      <c r="O3" s="46"/>
      <c r="R3" s="44"/>
      <c r="S3" s="110" t="s">
        <v>216</v>
      </c>
      <c r="T3" s="110"/>
      <c r="U3" s="110"/>
      <c r="V3" s="46"/>
    </row>
    <row r="4" spans="2:22" x14ac:dyDescent="0.35">
      <c r="B4" s="48"/>
      <c r="H4" s="53"/>
      <c r="K4" s="111" t="s">
        <v>220</v>
      </c>
      <c r="L4" s="112"/>
      <c r="M4" s="112"/>
      <c r="N4" s="112"/>
      <c r="O4" s="113"/>
      <c r="R4" s="111" t="s">
        <v>226</v>
      </c>
      <c r="S4" s="112"/>
      <c r="T4" s="112"/>
      <c r="U4" s="112"/>
      <c r="V4" s="113"/>
    </row>
    <row r="5" spans="2:22" x14ac:dyDescent="0.35">
      <c r="B5" s="48"/>
      <c r="D5" s="106" t="s">
        <v>217</v>
      </c>
      <c r="E5" s="106"/>
      <c r="F5" s="106"/>
      <c r="G5" s="106"/>
      <c r="H5" s="107"/>
      <c r="K5" s="48"/>
      <c r="O5" s="53"/>
      <c r="R5" s="48"/>
      <c r="V5" s="53"/>
    </row>
    <row r="6" spans="2:22" x14ac:dyDescent="0.35">
      <c r="B6" s="48"/>
      <c r="D6" s="88">
        <v>0.05</v>
      </c>
      <c r="E6" s="88">
        <v>5.5E-2</v>
      </c>
      <c r="F6" s="88">
        <v>0.06</v>
      </c>
      <c r="G6" s="88">
        <v>6.5000000000000002E-2</v>
      </c>
      <c r="H6" s="89">
        <v>7.0000000000000007E-2</v>
      </c>
      <c r="K6" s="92">
        <v>0.6</v>
      </c>
      <c r="L6" s="93">
        <v>0.65</v>
      </c>
      <c r="M6" s="93">
        <v>0.7</v>
      </c>
      <c r="N6" s="93">
        <v>0.75</v>
      </c>
      <c r="O6" s="94">
        <v>0.8</v>
      </c>
      <c r="R6" s="92">
        <v>0.3</v>
      </c>
      <c r="S6" s="93">
        <v>0.35</v>
      </c>
      <c r="T6" s="93">
        <v>0.4</v>
      </c>
      <c r="U6" s="93">
        <v>0.45</v>
      </c>
      <c r="V6" s="94">
        <v>0.5</v>
      </c>
    </row>
    <row r="7" spans="2:22" ht="15" thickBot="1" x14ac:dyDescent="0.4">
      <c r="B7" s="103" t="s">
        <v>218</v>
      </c>
      <c r="C7" s="90">
        <v>0.01</v>
      </c>
      <c r="D7" s="82">
        <v>182949</v>
      </c>
      <c r="E7" s="4">
        <v>162608</v>
      </c>
      <c r="F7" s="4">
        <v>146571</v>
      </c>
      <c r="G7" s="4">
        <v>133028</v>
      </c>
      <c r="H7" s="79">
        <v>121938</v>
      </c>
      <c r="K7" s="86">
        <v>198425</v>
      </c>
      <c r="L7" s="84">
        <v>185267</v>
      </c>
      <c r="M7" s="95">
        <v>173755</v>
      </c>
      <c r="N7" s="84">
        <v>163596</v>
      </c>
      <c r="O7" s="85">
        <v>154566</v>
      </c>
      <c r="R7" s="86">
        <v>125577</v>
      </c>
      <c r="S7" s="84">
        <v>149666</v>
      </c>
      <c r="T7" s="95">
        <v>173755</v>
      </c>
      <c r="U7" s="84">
        <v>197843</v>
      </c>
      <c r="V7" s="85">
        <v>221932</v>
      </c>
    </row>
    <row r="8" spans="2:22" x14ac:dyDescent="0.35">
      <c r="B8" s="108"/>
      <c r="C8" s="90">
        <v>1.4999999999999999E-2</v>
      </c>
      <c r="D8" s="4">
        <v>203678</v>
      </c>
      <c r="E8" s="4">
        <v>178278</v>
      </c>
      <c r="F8" s="4">
        <v>158782</v>
      </c>
      <c r="G8" s="4">
        <v>142720</v>
      </c>
      <c r="H8" s="79">
        <v>129791</v>
      </c>
      <c r="R8" s="9"/>
      <c r="S8" s="9">
        <f>(T7-S7)/S7</f>
        <v>0.16095171916133258</v>
      </c>
      <c r="T8" s="9">
        <f>(U7-T7)/T7</f>
        <v>0.138631981813473</v>
      </c>
      <c r="U8" s="9"/>
      <c r="V8" s="9"/>
    </row>
    <row r="9" spans="2:22" ht="15" thickBot="1" x14ac:dyDescent="0.4">
      <c r="B9" s="108"/>
      <c r="C9" s="90">
        <v>0.02</v>
      </c>
      <c r="D9" s="4">
        <v>231317</v>
      </c>
      <c r="E9" s="4">
        <v>198425</v>
      </c>
      <c r="F9" s="83">
        <v>173755</v>
      </c>
      <c r="G9" s="4">
        <v>154566</v>
      </c>
      <c r="H9" s="79">
        <v>139215</v>
      </c>
      <c r="K9">
        <f>(L7-K7)/K7</f>
        <v>-6.6312208643064127E-2</v>
      </c>
      <c r="L9">
        <f>(M7-L7)/L7</f>
        <v>-6.21373477197774E-2</v>
      </c>
      <c r="M9">
        <f>(N7-M7)/M7</f>
        <v>-5.8467382233604787E-2</v>
      </c>
      <c r="N9">
        <f>(O7-N7)/N7</f>
        <v>-5.5196948580649892E-2</v>
      </c>
      <c r="R9" s="60"/>
      <c r="S9" s="60"/>
      <c r="T9" s="60"/>
      <c r="U9" s="60"/>
      <c r="V9" s="60"/>
    </row>
    <row r="10" spans="2:22" x14ac:dyDescent="0.35">
      <c r="B10" s="108"/>
      <c r="C10" s="90">
        <v>2.5000000000000001E-2</v>
      </c>
      <c r="D10" s="4">
        <v>270012</v>
      </c>
      <c r="E10" s="4">
        <v>225287</v>
      </c>
      <c r="F10" s="4">
        <v>193338</v>
      </c>
      <c r="G10" s="4">
        <v>169373</v>
      </c>
      <c r="H10" s="79">
        <v>150732</v>
      </c>
      <c r="R10" s="44"/>
      <c r="S10" s="110" t="s">
        <v>219</v>
      </c>
      <c r="T10" s="110"/>
      <c r="U10" s="110"/>
      <c r="V10" s="46"/>
    </row>
    <row r="11" spans="2:22" ht="15" thickBot="1" x14ac:dyDescent="0.4">
      <c r="B11" s="109"/>
      <c r="C11" s="91">
        <v>0.03</v>
      </c>
      <c r="D11" s="84">
        <v>328053</v>
      </c>
      <c r="E11" s="84">
        <v>262894</v>
      </c>
      <c r="F11" s="84">
        <v>219449</v>
      </c>
      <c r="G11" s="84">
        <v>188411</v>
      </c>
      <c r="H11" s="85">
        <v>165129</v>
      </c>
      <c r="R11" s="111" t="s">
        <v>226</v>
      </c>
      <c r="S11" s="112"/>
      <c r="T11" s="112"/>
      <c r="U11" s="112"/>
      <c r="V11" s="113"/>
    </row>
    <row r="12" spans="2:22" x14ac:dyDescent="0.35">
      <c r="R12" s="48"/>
      <c r="V12" s="53"/>
    </row>
    <row r="13" spans="2:22" ht="15" thickBot="1" x14ac:dyDescent="0.4">
      <c r="C13" t="s">
        <v>201</v>
      </c>
      <c r="D13">
        <f>(E9-D9)/D9</f>
        <v>-0.14219447770808025</v>
      </c>
      <c r="E13">
        <f>(F9-E9)/E9</f>
        <v>-0.12432909159632102</v>
      </c>
      <c r="F13">
        <f>(G9-F9)/F9</f>
        <v>-0.1104371097234612</v>
      </c>
      <c r="G13">
        <f>(H9-G9)/G9</f>
        <v>-9.9316796708202315E-2</v>
      </c>
      <c r="R13" s="92">
        <v>0.3</v>
      </c>
      <c r="S13" s="93">
        <v>0.35</v>
      </c>
      <c r="T13" s="93">
        <v>0.4</v>
      </c>
      <c r="U13" s="93">
        <v>0.45</v>
      </c>
      <c r="V13" s="94">
        <v>0.5</v>
      </c>
    </row>
    <row r="14" spans="2:22" ht="15" thickBot="1" x14ac:dyDescent="0.4">
      <c r="C14" t="s">
        <v>221</v>
      </c>
      <c r="D14">
        <f>(F8-F7)/F7</f>
        <v>8.3311159779219629E-2</v>
      </c>
      <c r="E14">
        <f>(F9-F8)/F8</f>
        <v>9.4299101913315114E-2</v>
      </c>
      <c r="F14">
        <f>(F10-F9)/F9</f>
        <v>0.11270467036919801</v>
      </c>
      <c r="K14" s="44"/>
      <c r="L14" s="110" t="s">
        <v>219</v>
      </c>
      <c r="M14" s="110"/>
      <c r="N14" s="110"/>
      <c r="O14" s="46"/>
      <c r="R14" s="86">
        <v>166654</v>
      </c>
      <c r="S14" s="84">
        <v>180689</v>
      </c>
      <c r="T14" s="95">
        <v>194724</v>
      </c>
      <c r="U14" s="84">
        <v>208759</v>
      </c>
      <c r="V14" s="85">
        <v>222794</v>
      </c>
    </row>
    <row r="15" spans="2:22" ht="15" thickBot="1" x14ac:dyDescent="0.4">
      <c r="D15" s="73"/>
      <c r="K15" s="111" t="s">
        <v>220</v>
      </c>
      <c r="L15" s="112"/>
      <c r="M15" s="112"/>
      <c r="N15" s="112"/>
      <c r="O15" s="113"/>
    </row>
    <row r="16" spans="2:22" x14ac:dyDescent="0.35">
      <c r="B16" s="44"/>
      <c r="C16" s="45"/>
      <c r="D16" s="45"/>
      <c r="E16" s="77" t="s">
        <v>219</v>
      </c>
      <c r="F16" s="77"/>
      <c r="G16" s="77"/>
      <c r="H16" s="46"/>
      <c r="K16" s="48"/>
      <c r="O16" s="53"/>
    </row>
    <row r="17" spans="1:21" x14ac:dyDescent="0.35">
      <c r="B17" s="48"/>
      <c r="H17" s="53"/>
      <c r="K17" s="92">
        <v>0.6</v>
      </c>
      <c r="L17" s="93">
        <v>0.65</v>
      </c>
      <c r="M17" s="93">
        <v>0.7</v>
      </c>
      <c r="N17" s="93">
        <v>0.75</v>
      </c>
      <c r="O17" s="94">
        <v>0.8</v>
      </c>
      <c r="R17">
        <f>(S14-R14)/R14</f>
        <v>8.4216400446433928E-2</v>
      </c>
      <c r="S17">
        <f>(T14-S14)/S14</f>
        <v>7.7674899966240329E-2</v>
      </c>
      <c r="T17">
        <f>(U14-T14)/T14</f>
        <v>7.2076374766335938E-2</v>
      </c>
      <c r="U17">
        <f>(V14-U14)/U14</f>
        <v>6.7230634367859587E-2</v>
      </c>
    </row>
    <row r="18" spans="1:21" ht="15" thickBot="1" x14ac:dyDescent="0.4">
      <c r="B18" s="48"/>
      <c r="D18" s="106" t="s">
        <v>217</v>
      </c>
      <c r="E18" s="106"/>
      <c r="F18" s="106"/>
      <c r="G18" s="106"/>
      <c r="H18" s="107"/>
      <c r="K18" s="86">
        <v>222602</v>
      </c>
      <c r="L18" s="84">
        <v>207733</v>
      </c>
      <c r="M18" s="95">
        <v>194724</v>
      </c>
      <c r="N18" s="84">
        <v>183247</v>
      </c>
      <c r="O18" s="85">
        <v>173046</v>
      </c>
    </row>
    <row r="19" spans="1:21" x14ac:dyDescent="0.35">
      <c r="B19" s="48"/>
      <c r="D19" s="88">
        <v>0.05</v>
      </c>
      <c r="E19" s="88">
        <v>5.5E-2</v>
      </c>
      <c r="F19" s="88">
        <v>0.06</v>
      </c>
      <c r="G19" s="88">
        <v>6.5000000000000002E-2</v>
      </c>
      <c r="H19" s="89">
        <v>7.0000000000000007E-2</v>
      </c>
      <c r="T19" s="4"/>
    </row>
    <row r="20" spans="1:21" x14ac:dyDescent="0.35">
      <c r="B20" s="103" t="s">
        <v>218</v>
      </c>
      <c r="C20" s="90">
        <v>0.01</v>
      </c>
      <c r="D20" s="82">
        <v>205064</v>
      </c>
      <c r="E20" s="4">
        <v>182084</v>
      </c>
      <c r="F20" s="4">
        <v>163708</v>
      </c>
      <c r="G20" s="4">
        <v>148681</v>
      </c>
      <c r="H20" s="79">
        <v>136164</v>
      </c>
      <c r="K20">
        <f>(L18-K18)/K18</f>
        <v>-6.6796345046315847E-2</v>
      </c>
      <c r="L20">
        <f>(M18-L18)/L18</f>
        <v>-6.2623656328074984E-2</v>
      </c>
      <c r="M20">
        <f>(N18-M18)/M18</f>
        <v>-5.8939832788973114E-2</v>
      </c>
      <c r="N20">
        <f>(O18-N18)/N18</f>
        <v>-5.5668032764520016E-2</v>
      </c>
    </row>
    <row r="21" spans="1:21" x14ac:dyDescent="0.35">
      <c r="B21" s="104"/>
      <c r="C21" s="90">
        <v>1.4999999999999999E-2</v>
      </c>
      <c r="D21" s="4">
        <v>228514</v>
      </c>
      <c r="E21" s="4">
        <v>199811</v>
      </c>
      <c r="F21" s="4">
        <v>177493</v>
      </c>
      <c r="G21" s="4">
        <v>159645</v>
      </c>
      <c r="H21" s="79">
        <v>145048</v>
      </c>
    </row>
    <row r="22" spans="1:21" x14ac:dyDescent="0.35">
      <c r="B22" s="104"/>
      <c r="C22" s="90">
        <v>0.02</v>
      </c>
      <c r="D22" s="4">
        <v>259781</v>
      </c>
      <c r="E22" s="4">
        <v>222602</v>
      </c>
      <c r="F22" s="83">
        <v>194724</v>
      </c>
      <c r="G22" s="4">
        <v>173046</v>
      </c>
      <c r="H22" s="79">
        <v>155709</v>
      </c>
    </row>
    <row r="23" spans="1:21" x14ac:dyDescent="0.35">
      <c r="B23" s="104"/>
      <c r="C23" s="90">
        <v>2.5000000000000001E-2</v>
      </c>
      <c r="D23" s="4">
        <v>303555</v>
      </c>
      <c r="E23" s="4">
        <v>252991</v>
      </c>
      <c r="F23" s="4">
        <v>216878</v>
      </c>
      <c r="G23" s="4">
        <v>189797</v>
      </c>
      <c r="H23" s="79">
        <v>168738</v>
      </c>
    </row>
    <row r="24" spans="1:21" ht="15" thickBot="1" x14ac:dyDescent="0.4">
      <c r="B24" s="105"/>
      <c r="C24" s="91">
        <v>0.03</v>
      </c>
      <c r="D24" s="84">
        <v>369216</v>
      </c>
      <c r="E24" s="84">
        <v>295534</v>
      </c>
      <c r="F24" s="84">
        <v>246416</v>
      </c>
      <c r="G24" s="84">
        <v>211334</v>
      </c>
      <c r="H24" s="85">
        <v>185025</v>
      </c>
    </row>
    <row r="27" spans="1:21" x14ac:dyDescent="0.35">
      <c r="A27" s="1" t="s">
        <v>201</v>
      </c>
      <c r="B27" s="75"/>
      <c r="E27" t="s">
        <v>227</v>
      </c>
      <c r="F27">
        <f>(F23-F22)/F22</f>
        <v>0.11377128653889608</v>
      </c>
    </row>
    <row r="28" spans="1:21" x14ac:dyDescent="0.35">
      <c r="A28" t="s">
        <v>223</v>
      </c>
      <c r="B28" s="87">
        <v>2.5000000000000001E-2</v>
      </c>
      <c r="E28" t="s">
        <v>201</v>
      </c>
      <c r="F28">
        <f>(G22-F22)/F22</f>
        <v>-0.11132680101066124</v>
      </c>
    </row>
    <row r="29" spans="1:21" x14ac:dyDescent="0.35">
      <c r="A29" t="s">
        <v>224</v>
      </c>
      <c r="B29" s="87">
        <v>0.7</v>
      </c>
    </row>
    <row r="30" spans="1:21" x14ac:dyDescent="0.35">
      <c r="A30" t="s">
        <v>225</v>
      </c>
      <c r="B30" s="87">
        <v>0.05</v>
      </c>
    </row>
    <row r="31" spans="1:21" x14ac:dyDescent="0.35">
      <c r="A31" s="1" t="s">
        <v>201</v>
      </c>
      <c r="B31" s="75">
        <f>B28+(B29*B30)</f>
        <v>0.06</v>
      </c>
    </row>
  </sheetData>
  <mergeCells count="12">
    <mergeCell ref="S3:U3"/>
    <mergeCell ref="R4:V4"/>
    <mergeCell ref="S10:U10"/>
    <mergeCell ref="R11:V11"/>
    <mergeCell ref="D18:H18"/>
    <mergeCell ref="B20:B24"/>
    <mergeCell ref="D5:H5"/>
    <mergeCell ref="B7:B11"/>
    <mergeCell ref="L3:N3"/>
    <mergeCell ref="K4:O4"/>
    <mergeCell ref="L14:N14"/>
    <mergeCell ref="K15:O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C63A7F62C51E45832604D654F4D5F9" ma:contentTypeVersion="15" ma:contentTypeDescription="Create a new document." ma:contentTypeScope="" ma:versionID="e5af1f2014c132db2c3686bad2ed6450">
  <xsd:schema xmlns:xsd="http://www.w3.org/2001/XMLSchema" xmlns:xs="http://www.w3.org/2001/XMLSchema" xmlns:p="http://schemas.microsoft.com/office/2006/metadata/properties" xmlns:ns2="dcc75867-4b81-416b-ba87-cf9041e81374" xmlns:ns3="8bcd404e-b814-4f6b-98b6-e29ae617f55a" targetNamespace="http://schemas.microsoft.com/office/2006/metadata/properties" ma:root="true" ma:fieldsID="c71c5fbc782802cf49b779a4856f93c3" ns2:_="" ns3:_="">
    <xsd:import namespace="dcc75867-4b81-416b-ba87-cf9041e81374"/>
    <xsd:import namespace="8bcd404e-b814-4f6b-98b6-e29ae617f5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75867-4b81-416b-ba87-cf9041e81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55554886-c2b2-42e7-ae49-e712ab45e6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d404e-b814-4f6b-98b6-e29ae617f5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b5bb074-76dd-4778-af22-38e353ddfcd9}" ma:internalName="TaxCatchAll" ma:showField="CatchAllData" ma:web="8bcd404e-b814-4f6b-98b6-e29ae617f5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c75867-4b81-416b-ba87-cf9041e81374">
      <Terms xmlns="http://schemas.microsoft.com/office/infopath/2007/PartnerControls"/>
    </lcf76f155ced4ddcb4097134ff3c332f>
    <TaxCatchAll xmlns="8bcd404e-b814-4f6b-98b6-e29ae617f55a" xsi:nil="true"/>
  </documentManagement>
</p:properties>
</file>

<file path=customXml/itemProps1.xml><?xml version="1.0" encoding="utf-8"?>
<ds:datastoreItem xmlns:ds="http://schemas.openxmlformats.org/officeDocument/2006/customXml" ds:itemID="{67CAE58E-921C-4685-B0FA-DF7D2997EA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BC285E-FB9C-4679-8955-E549CCA812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c75867-4b81-416b-ba87-cf9041e81374"/>
    <ds:schemaRef ds:uri="8bcd404e-b814-4f6b-98b6-e29ae617f5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729126-8514-4C5D-AA2D-0041C7070639}">
  <ds:schemaRefs>
    <ds:schemaRef ds:uri="http://schemas.microsoft.com/office/2006/metadata/properties"/>
    <ds:schemaRef ds:uri="http://schemas.microsoft.com/office/infopath/2007/PartnerControls"/>
    <ds:schemaRef ds:uri="dcc75867-4b81-416b-ba87-cf9041e81374"/>
    <ds:schemaRef ds:uri="8bcd404e-b814-4f6b-98b6-e29ae617f55a"/>
  </ds:schemaRefs>
</ds:datastoreItem>
</file>

<file path=docMetadata/LabelInfo.xml><?xml version="1.0" encoding="utf-8"?>
<clbl:labelList xmlns:clbl="http://schemas.microsoft.com/office/2020/mipLabelMetadata">
  <clbl:label id="{9641a79b-5684-4ff8-89b0-3b715ae642f9}" enabled="1" method="Privileged" siteId="{adee44b2-91fc-40f1-abdd-9cc29351b5fd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Income statement</vt:lpstr>
      <vt:lpstr>Balance</vt:lpstr>
      <vt:lpstr>FCF</vt:lpstr>
      <vt:lpstr>Valuation</vt:lpstr>
      <vt:lpstr>Sensitivity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Arijana Horic</dc:creator>
  <cp:lastModifiedBy>Wilhelmsen, Lise Marie</cp:lastModifiedBy>
  <dcterms:created xsi:type="dcterms:W3CDTF">2021-04-05T06:50:02Z</dcterms:created>
  <dcterms:modified xsi:type="dcterms:W3CDTF">2024-07-17T08:59:52Z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0x01010053C63A7F62C51E45832604D654F4D5F9</vt:lpwstr>
  </property>
</Properties>
</file>