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A0150ED4-7E0E-42C0-88E8-9FA2FA17F283}" xr6:coauthVersionLast="47" xr6:coauthVersionMax="47" xr10:uidLastSave="{00000000-0000-0000-0000-000000000000}"/>
  <bookViews>
    <workbookView xWindow="30612" yWindow="-72" windowWidth="30936" windowHeight="16896" firstSheet="3" activeTab="10" xr2:uid="{00000000-000D-0000-FFFF-FFFF00000000}"/>
  </bookViews>
  <sheets>
    <sheet name="Forecast" sheetId="15" r:id="rId1"/>
    <sheet name="Forecast FCFF" sheetId="17" r:id="rId2"/>
    <sheet name="KVM før iterasjon" sheetId="13" r:id="rId3"/>
    <sheet name="Nøkkeltall konkurrenter" sheetId="6" r:id="rId4"/>
    <sheet name="Lønnsomhetsanalyse" sheetId="4" r:id="rId5"/>
    <sheet name="Likviditetsanalyse" sheetId="5" r:id="rId6"/>
    <sheet name="Vekstanalyse" sheetId="7" r:id="rId7"/>
    <sheet name="Avkastningskrav1" sheetId="11" r:id="rId8"/>
    <sheet name="Iterasjon" sheetId="20" r:id="rId9"/>
    <sheet name="Relativ verdsettelse" sheetId="16" r:id="rId10"/>
    <sheet name="Monte-carlo variabler " sheetId="21" r:id="rId11"/>
    <sheet name="Reformulering " sheetId="2" r:id="rId12"/>
    <sheet name="SWOT" sheetId="23" state="hidden" r:id="rId13"/>
  </sheets>
  <definedNames>
    <definedName name="solver_eng" localSheetId="7" hidden="1">1</definedName>
    <definedName name="solver_lin" localSheetId="7" hidden="1">2</definedName>
    <definedName name="solver_neg" localSheetId="7" hidden="1">1</definedName>
    <definedName name="solver_num" localSheetId="7" hidden="1">0</definedName>
    <definedName name="solver_opt" localSheetId="7" hidden="1">Avkastningskrav1!$D$28</definedName>
    <definedName name="solver_typ" localSheetId="7" hidden="1">1</definedName>
    <definedName name="solver_val" localSheetId="7" hidden="1">0</definedName>
    <definedName name="solver_ver" localSheetId="7" hidden="1">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5" i="15" l="1"/>
  <c r="D155" i="15"/>
  <c r="E155" i="15"/>
  <c r="F155" i="15"/>
  <c r="G155" i="15"/>
  <c r="H155" i="15"/>
  <c r="D143" i="15"/>
  <c r="E143" i="15"/>
  <c r="F143" i="15"/>
  <c r="G143" i="15"/>
  <c r="H143" i="15"/>
  <c r="C143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42" i="15"/>
  <c r="P116" i="6"/>
  <c r="O116" i="6"/>
  <c r="O107" i="6"/>
  <c r="P107" i="6" s="1"/>
  <c r="P98" i="6"/>
  <c r="O98" i="6"/>
  <c r="P89" i="6"/>
  <c r="O89" i="6"/>
  <c r="P80" i="6"/>
  <c r="O80" i="6"/>
  <c r="P70" i="6"/>
  <c r="O70" i="6"/>
  <c r="G26" i="11"/>
  <c r="J26" i="2"/>
  <c r="AG22" i="5"/>
  <c r="AA55" i="6"/>
  <c r="C78" i="4"/>
  <c r="N38" i="6"/>
  <c r="H19" i="5"/>
  <c r="I31" i="4"/>
  <c r="I41" i="4"/>
  <c r="I40" i="4"/>
  <c r="I42" i="4" s="1"/>
  <c r="H40" i="4"/>
  <c r="C7" i="13"/>
  <c r="D16" i="11"/>
  <c r="G16" i="11"/>
  <c r="C24" i="13"/>
  <c r="C20" i="15"/>
  <c r="V7" i="15" s="1"/>
  <c r="H48" i="4" l="1"/>
  <c r="H58" i="4"/>
  <c r="I6" i="15"/>
  <c r="V19" i="5"/>
  <c r="D13" i="11"/>
  <c r="G13" i="11" s="1"/>
  <c r="B23" i="20"/>
  <c r="F24" i="11" l="1"/>
  <c r="H13" i="11"/>
  <c r="S22" i="5"/>
  <c r="P4" i="20"/>
  <c r="I5" i="21"/>
  <c r="I7" i="21"/>
  <c r="F58" i="15"/>
  <c r="C6" i="13"/>
  <c r="B22" i="20" s="1"/>
  <c r="AC77" i="7"/>
  <c r="C13" i="17"/>
  <c r="C35" i="17" s="1"/>
  <c r="B24" i="20"/>
  <c r="B4" i="21"/>
  <c r="C15" i="13"/>
  <c r="C22" i="13" s="1"/>
  <c r="I29" i="15"/>
  <c r="I2" i="21"/>
  <c r="D21" i="11"/>
  <c r="C21" i="11"/>
  <c r="F21" i="11"/>
  <c r="C20" i="11"/>
  <c r="B21" i="11"/>
  <c r="G21" i="11" l="1"/>
  <c r="J2" i="21"/>
  <c r="K2" i="21" s="1"/>
  <c r="D24" i="11"/>
  <c r="G2" i="11"/>
  <c r="I6" i="2"/>
  <c r="I4" i="15"/>
  <c r="D4" i="21"/>
  <c r="E4" i="21"/>
  <c r="F4" i="21"/>
  <c r="G4" i="21"/>
  <c r="G5" i="21" s="1"/>
  <c r="H4" i="21"/>
  <c r="C4" i="21"/>
  <c r="B4" i="20"/>
  <c r="L91" i="17"/>
  <c r="L81" i="17"/>
  <c r="L72" i="17"/>
  <c r="L63" i="17"/>
  <c r="L54" i="17"/>
  <c r="L44" i="17"/>
  <c r="M48" i="17"/>
  <c r="M58" i="17" s="1"/>
  <c r="M67" i="17" s="1"/>
  <c r="M76" i="17" s="1"/>
  <c r="M85" i="17" s="1"/>
  <c r="M94" i="17" s="1"/>
  <c r="L35" i="17"/>
  <c r="L25" i="17"/>
  <c r="M29" i="17"/>
  <c r="L14" i="17"/>
  <c r="S14" i="17"/>
  <c r="S24" i="17" s="1"/>
  <c r="S34" i="17" s="1"/>
  <c r="S43" i="17" s="1"/>
  <c r="S53" i="17" s="1"/>
  <c r="S62" i="17" s="1"/>
  <c r="S71" i="17" s="1"/>
  <c r="S80" i="17" s="1"/>
  <c r="S89" i="17" s="1"/>
  <c r="M18" i="17"/>
  <c r="M28" i="17" s="1"/>
  <c r="M38" i="17" s="1"/>
  <c r="M47" i="17" s="1"/>
  <c r="M57" i="17" s="1"/>
  <c r="M66" i="17" s="1"/>
  <c r="M75" i="17" s="1"/>
  <c r="M84" i="17" s="1"/>
  <c r="M93" i="17" s="1"/>
  <c r="E4" i="20"/>
  <c r="L6" i="17"/>
  <c r="M9" i="17"/>
  <c r="M17" i="17" s="1"/>
  <c r="M27" i="17" s="1"/>
  <c r="M37" i="17" s="1"/>
  <c r="M46" i="17" s="1"/>
  <c r="M56" i="17" s="1"/>
  <c r="M65" i="17" s="1"/>
  <c r="M74" i="17" s="1"/>
  <c r="M83" i="17" s="1"/>
  <c r="M92" i="17" s="1"/>
  <c r="S6" i="17"/>
  <c r="N6" i="17"/>
  <c r="N14" i="17" s="1"/>
  <c r="N24" i="17" s="1"/>
  <c r="N34" i="17" s="1"/>
  <c r="N43" i="17" s="1"/>
  <c r="N53" i="17" s="1"/>
  <c r="N62" i="17" s="1"/>
  <c r="N71" i="17" s="1"/>
  <c r="N80" i="17" s="1"/>
  <c r="N89" i="17" s="1"/>
  <c r="O6" i="17"/>
  <c r="O14" i="17" s="1"/>
  <c r="O24" i="17" s="1"/>
  <c r="O34" i="17" s="1"/>
  <c r="O43" i="17" s="1"/>
  <c r="O53" i="17" s="1"/>
  <c r="O62" i="17" s="1"/>
  <c r="O71" i="17" s="1"/>
  <c r="O80" i="17" s="1"/>
  <c r="O89" i="17" s="1"/>
  <c r="P6" i="17"/>
  <c r="P14" i="17" s="1"/>
  <c r="P24" i="17" s="1"/>
  <c r="P34" i="17" s="1"/>
  <c r="P43" i="17" s="1"/>
  <c r="P53" i="17" s="1"/>
  <c r="P62" i="17" s="1"/>
  <c r="P71" i="17" s="1"/>
  <c r="P80" i="17" s="1"/>
  <c r="P89" i="17" s="1"/>
  <c r="Q6" i="17"/>
  <c r="Q14" i="17" s="1"/>
  <c r="Q24" i="17" s="1"/>
  <c r="Q34" i="17" s="1"/>
  <c r="Q43" i="17" s="1"/>
  <c r="Q53" i="17" s="1"/>
  <c r="Q62" i="17" s="1"/>
  <c r="Q71" i="17" s="1"/>
  <c r="Q80" i="17" s="1"/>
  <c r="Q89" i="17" s="1"/>
  <c r="R6" i="17"/>
  <c r="R14" i="17" s="1"/>
  <c r="R24" i="17" s="1"/>
  <c r="R34" i="17" s="1"/>
  <c r="R43" i="17" s="1"/>
  <c r="R53" i="17" s="1"/>
  <c r="R62" i="17" s="1"/>
  <c r="R71" i="17" s="1"/>
  <c r="R80" i="17" s="1"/>
  <c r="R89" i="17" s="1"/>
  <c r="M7" i="17"/>
  <c r="M15" i="17" s="1"/>
  <c r="M25" i="17" s="1"/>
  <c r="M35" i="17" s="1"/>
  <c r="M44" i="17" s="1"/>
  <c r="M54" i="17" s="1"/>
  <c r="M63" i="17" s="1"/>
  <c r="M72" i="17" s="1"/>
  <c r="M81" i="17" s="1"/>
  <c r="M90" i="17" s="1"/>
  <c r="M8" i="17"/>
  <c r="M16" i="17" s="1"/>
  <c r="M26" i="17" s="1"/>
  <c r="M36" i="17" s="1"/>
  <c r="M45" i="17" s="1"/>
  <c r="M55" i="17" s="1"/>
  <c r="M64" i="17" s="1"/>
  <c r="M73" i="17" s="1"/>
  <c r="M82" i="17" s="1"/>
  <c r="M91" i="17" s="1"/>
  <c r="M6" i="17"/>
  <c r="M14" i="17" s="1"/>
  <c r="M24" i="17" s="1"/>
  <c r="M34" i="17" s="1"/>
  <c r="M43" i="17" s="1"/>
  <c r="M53" i="17" s="1"/>
  <c r="M62" i="17" s="1"/>
  <c r="M71" i="17" s="1"/>
  <c r="M80" i="17" s="1"/>
  <c r="M89" i="17" s="1"/>
  <c r="C4" i="20"/>
  <c r="D4" i="20"/>
  <c r="F4" i="20"/>
  <c r="G4" i="20"/>
  <c r="H4" i="20"/>
  <c r="I4" i="20"/>
  <c r="J4" i="20"/>
  <c r="K4" i="20"/>
  <c r="L4" i="20"/>
  <c r="C50" i="17"/>
  <c r="C48" i="17"/>
  <c r="G53" i="17"/>
  <c r="F53" i="17"/>
  <c r="E53" i="17"/>
  <c r="D53" i="17"/>
  <c r="C53" i="17"/>
  <c r="E11" i="16"/>
  <c r="S19" i="16" s="1"/>
  <c r="D11" i="16"/>
  <c r="N30" i="16" s="1"/>
  <c r="C11" i="16"/>
  <c r="N19" i="16" s="1"/>
  <c r="E7" i="16"/>
  <c r="O48" i="15"/>
  <c r="J51" i="15"/>
  <c r="K51" i="15"/>
  <c r="L51" i="15"/>
  <c r="M51" i="15"/>
  <c r="N51" i="15"/>
  <c r="O51" i="15"/>
  <c r="J4" i="15"/>
  <c r="O4" i="15"/>
  <c r="N4" i="15"/>
  <c r="M4" i="15"/>
  <c r="L4" i="15"/>
  <c r="K4" i="15"/>
  <c r="E10" i="16"/>
  <c r="H20" i="16" s="1"/>
  <c r="E9" i="16"/>
  <c r="H41" i="16" s="1"/>
  <c r="D6" i="16"/>
  <c r="D5" i="16"/>
  <c r="D9" i="16" s="1"/>
  <c r="C52" i="16" s="1"/>
  <c r="D4" i="16"/>
  <c r="I17" i="4"/>
  <c r="I12" i="4"/>
  <c r="I116" i="15"/>
  <c r="C120" i="15"/>
  <c r="X83" i="7"/>
  <c r="Y83" i="7"/>
  <c r="Z83" i="7"/>
  <c r="AA83" i="7"/>
  <c r="AB83" i="7"/>
  <c r="W83" i="7"/>
  <c r="AC75" i="7" s="1"/>
  <c r="I8" i="4"/>
  <c r="AO34" i="2"/>
  <c r="AO42" i="2"/>
  <c r="AO41" i="2"/>
  <c r="AO40" i="2"/>
  <c r="V7" i="5"/>
  <c r="W9" i="5"/>
  <c r="W10" i="5" s="1"/>
  <c r="V22" i="5"/>
  <c r="AO30" i="2"/>
  <c r="W18" i="5"/>
  <c r="C9" i="16"/>
  <c r="C10" i="16" s="1"/>
  <c r="C20" i="16" s="1"/>
  <c r="C95" i="15"/>
  <c r="W14" i="5"/>
  <c r="V14" i="5"/>
  <c r="F5" i="21" l="1"/>
  <c r="W31" i="5"/>
  <c r="AJ86" i="6"/>
  <c r="C41" i="16"/>
  <c r="E5" i="21"/>
  <c r="C5" i="21"/>
  <c r="J5" i="21" s="1"/>
  <c r="H5" i="21"/>
  <c r="D5" i="21"/>
  <c r="G24" i="11"/>
  <c r="C49" i="17"/>
  <c r="D10" i="16"/>
  <c r="C30" i="16" s="1"/>
  <c r="D74" i="15"/>
  <c r="G74" i="15"/>
  <c r="F69" i="15"/>
  <c r="C69" i="15"/>
  <c r="C104" i="15"/>
  <c r="C108" i="15" s="1"/>
  <c r="F64" i="15"/>
  <c r="O22" i="15"/>
  <c r="O19" i="15"/>
  <c r="D5" i="7"/>
  <c r="E5" i="7"/>
  <c r="J9" i="7" s="1"/>
  <c r="C5" i="7"/>
  <c r="L4" i="11"/>
  <c r="C10" i="2"/>
  <c r="C9" i="2"/>
  <c r="G77" i="15"/>
  <c r="D77" i="15"/>
  <c r="L6" i="11"/>
  <c r="E124" i="15"/>
  <c r="F124" i="15"/>
  <c r="G124" i="15"/>
  <c r="H124" i="15"/>
  <c r="I124" i="15"/>
  <c r="J124" i="15"/>
  <c r="K124" i="15"/>
  <c r="L124" i="15"/>
  <c r="M124" i="15"/>
  <c r="N124" i="15"/>
  <c r="D124" i="15"/>
  <c r="F182" i="15"/>
  <c r="E182" i="15"/>
  <c r="D182" i="15"/>
  <c r="F181" i="15"/>
  <c r="E181" i="15"/>
  <c r="D181" i="15"/>
  <c r="C181" i="15"/>
  <c r="E178" i="15"/>
  <c r="D178" i="15"/>
  <c r="C178" i="15"/>
  <c r="I48" i="2"/>
  <c r="I100" i="15"/>
  <c r="D111" i="15"/>
  <c r="E111" i="15"/>
  <c r="F111" i="15"/>
  <c r="G111" i="15"/>
  <c r="H111" i="15"/>
  <c r="I111" i="15"/>
  <c r="C111" i="15"/>
  <c r="D110" i="15"/>
  <c r="E110" i="15"/>
  <c r="F110" i="15"/>
  <c r="G110" i="15"/>
  <c r="H110" i="15"/>
  <c r="C110" i="15"/>
  <c r="D102" i="15"/>
  <c r="E102" i="15"/>
  <c r="F102" i="15"/>
  <c r="G102" i="15"/>
  <c r="G103" i="15" s="1"/>
  <c r="H102" i="15"/>
  <c r="I102" i="15"/>
  <c r="D101" i="15"/>
  <c r="E101" i="15"/>
  <c r="F101" i="15"/>
  <c r="G101" i="15"/>
  <c r="H101" i="15"/>
  <c r="D100" i="15"/>
  <c r="D103" i="15" s="1"/>
  <c r="E100" i="15"/>
  <c r="E103" i="15" s="1"/>
  <c r="F100" i="15"/>
  <c r="G100" i="15"/>
  <c r="H100" i="15"/>
  <c r="H103" i="15" s="1"/>
  <c r="C100" i="15"/>
  <c r="C101" i="15"/>
  <c r="C57" i="2"/>
  <c r="D107" i="15"/>
  <c r="E107" i="15"/>
  <c r="F107" i="15"/>
  <c r="G107" i="15"/>
  <c r="H107" i="15"/>
  <c r="H108" i="15" s="1"/>
  <c r="C107" i="15"/>
  <c r="D106" i="15"/>
  <c r="E106" i="15"/>
  <c r="F106" i="15"/>
  <c r="G106" i="15"/>
  <c r="H106" i="15"/>
  <c r="C106" i="15"/>
  <c r="D105" i="15"/>
  <c r="D108" i="15" s="1"/>
  <c r="E105" i="15"/>
  <c r="F105" i="15"/>
  <c r="G105" i="15"/>
  <c r="H105" i="15"/>
  <c r="C105" i="15"/>
  <c r="D104" i="15"/>
  <c r="E104" i="15"/>
  <c r="F104" i="15"/>
  <c r="G104" i="15"/>
  <c r="H104" i="15"/>
  <c r="F103" i="15"/>
  <c r="C102" i="15"/>
  <c r="C103" i="15" s="1"/>
  <c r="I55" i="2"/>
  <c r="I107" i="15" s="1"/>
  <c r="I54" i="2"/>
  <c r="I106" i="15" s="1"/>
  <c r="I53" i="2"/>
  <c r="I105" i="15" s="1"/>
  <c r="I49" i="2"/>
  <c r="H13" i="5" s="1"/>
  <c r="I47" i="2"/>
  <c r="J111" i="15"/>
  <c r="K111" i="15"/>
  <c r="L111" i="15"/>
  <c r="M111" i="15"/>
  <c r="N111" i="15"/>
  <c r="J11" i="7"/>
  <c r="J10" i="7" s="1"/>
  <c r="D10" i="7"/>
  <c r="E10" i="7"/>
  <c r="F10" i="7"/>
  <c r="G10" i="7"/>
  <c r="H10" i="7"/>
  <c r="I10" i="7"/>
  <c r="C10" i="7"/>
  <c r="C20" i="7" s="1"/>
  <c r="D10" i="2"/>
  <c r="E10" i="2"/>
  <c r="F10" i="2"/>
  <c r="G10" i="2"/>
  <c r="H10" i="2"/>
  <c r="I10" i="2"/>
  <c r="D8" i="7"/>
  <c r="E8" i="7"/>
  <c r="F8" i="7"/>
  <c r="G8" i="7"/>
  <c r="H8" i="7"/>
  <c r="I8" i="7"/>
  <c r="C8" i="7"/>
  <c r="C27" i="7"/>
  <c r="I8" i="15"/>
  <c r="I76" i="15" s="1"/>
  <c r="F85" i="15"/>
  <c r="K19" i="15"/>
  <c r="L19" i="15"/>
  <c r="M19" i="15"/>
  <c r="N19" i="15"/>
  <c r="J19" i="15"/>
  <c r="J7" i="7"/>
  <c r="I5" i="7"/>
  <c r="C4" i="15"/>
  <c r="I50" i="15"/>
  <c r="I51" i="15" s="1"/>
  <c r="H47" i="15"/>
  <c r="H49" i="15"/>
  <c r="H50" i="15"/>
  <c r="H51" i="15"/>
  <c r="H52" i="15"/>
  <c r="H53" i="15"/>
  <c r="H73" i="15" s="1"/>
  <c r="H54" i="15"/>
  <c r="H55" i="15"/>
  <c r="H74" i="15" s="1"/>
  <c r="H56" i="15"/>
  <c r="H75" i="15" s="1"/>
  <c r="H57" i="15"/>
  <c r="H58" i="15"/>
  <c r="G47" i="15"/>
  <c r="G48" i="15"/>
  <c r="G49" i="15"/>
  <c r="G50" i="15"/>
  <c r="G51" i="15"/>
  <c r="G52" i="15"/>
  <c r="G53" i="15"/>
  <c r="G73" i="15" s="1"/>
  <c r="G54" i="15"/>
  <c r="G55" i="15"/>
  <c r="G56" i="15"/>
  <c r="G75" i="15" s="1"/>
  <c r="G57" i="15"/>
  <c r="G58" i="15"/>
  <c r="B60" i="15"/>
  <c r="F47" i="15"/>
  <c r="F77" i="15" s="1"/>
  <c r="F48" i="15"/>
  <c r="F49" i="15"/>
  <c r="F50" i="15"/>
  <c r="F51" i="15"/>
  <c r="F52" i="15"/>
  <c r="F53" i="15"/>
  <c r="F73" i="15" s="1"/>
  <c r="F54" i="15"/>
  <c r="F55" i="15"/>
  <c r="F74" i="15" s="1"/>
  <c r="F56" i="15"/>
  <c r="F75" i="15" s="1"/>
  <c r="F57" i="15"/>
  <c r="E47" i="15"/>
  <c r="E48" i="15"/>
  <c r="E49" i="15"/>
  <c r="E50" i="15"/>
  <c r="E51" i="15"/>
  <c r="E52" i="15"/>
  <c r="E53" i="15"/>
  <c r="E54" i="15"/>
  <c r="E55" i="15"/>
  <c r="E74" i="15" s="1"/>
  <c r="E56" i="15"/>
  <c r="E57" i="15"/>
  <c r="E58" i="15"/>
  <c r="D47" i="15"/>
  <c r="D48" i="15"/>
  <c r="D49" i="15"/>
  <c r="D50" i="15"/>
  <c r="D51" i="15"/>
  <c r="D52" i="15"/>
  <c r="D53" i="15"/>
  <c r="D73" i="15" s="1"/>
  <c r="D54" i="15"/>
  <c r="D55" i="15"/>
  <c r="D56" i="15"/>
  <c r="D57" i="15"/>
  <c r="D58" i="15"/>
  <c r="C47" i="15"/>
  <c r="C77" i="15" s="1"/>
  <c r="C48" i="15"/>
  <c r="C49" i="15"/>
  <c r="C50" i="15"/>
  <c r="C51" i="15"/>
  <c r="C52" i="15"/>
  <c r="C53" i="15"/>
  <c r="C73" i="15" s="1"/>
  <c r="C54" i="15"/>
  <c r="C55" i="15"/>
  <c r="C56" i="15"/>
  <c r="C57" i="15"/>
  <c r="C58" i="15"/>
  <c r="D46" i="15"/>
  <c r="E46" i="15"/>
  <c r="F46" i="15"/>
  <c r="G46" i="15"/>
  <c r="H46" i="15"/>
  <c r="I46" i="15" s="1"/>
  <c r="I13" i="4" s="1"/>
  <c r="C46" i="15"/>
  <c r="B46" i="15"/>
  <c r="L74" i="15" s="1"/>
  <c r="B47" i="15"/>
  <c r="L75" i="15" s="1"/>
  <c r="B48" i="15"/>
  <c r="B49" i="15"/>
  <c r="B50" i="15"/>
  <c r="B51" i="15"/>
  <c r="B52" i="15"/>
  <c r="B53" i="15"/>
  <c r="B54" i="15"/>
  <c r="B55" i="15"/>
  <c r="B56" i="15"/>
  <c r="B57" i="15"/>
  <c r="B58" i="15"/>
  <c r="C45" i="15"/>
  <c r="D45" i="15"/>
  <c r="E45" i="15"/>
  <c r="F45" i="15"/>
  <c r="G45" i="15"/>
  <c r="H45" i="15"/>
  <c r="B45" i="15"/>
  <c r="I38" i="15"/>
  <c r="AO37" i="2" s="1"/>
  <c r="I37" i="15"/>
  <c r="I50" i="2" s="1"/>
  <c r="I101" i="15" s="1"/>
  <c r="I36" i="15"/>
  <c r="I34" i="15"/>
  <c r="I31" i="15"/>
  <c r="AO32" i="2" s="1"/>
  <c r="I30" i="15"/>
  <c r="H29" i="15"/>
  <c r="H30" i="15"/>
  <c r="H31" i="15"/>
  <c r="H32" i="15"/>
  <c r="H33" i="15"/>
  <c r="H34" i="15"/>
  <c r="H35" i="15"/>
  <c r="G87" i="15" s="1"/>
  <c r="H36" i="15"/>
  <c r="H117" i="15" s="1"/>
  <c r="I118" i="15" s="1"/>
  <c r="H37" i="15"/>
  <c r="H38" i="15"/>
  <c r="H39" i="15"/>
  <c r="H40" i="15"/>
  <c r="H41" i="15"/>
  <c r="H42" i="15"/>
  <c r="G42" i="15"/>
  <c r="G29" i="15"/>
  <c r="G30" i="15"/>
  <c r="G31" i="15"/>
  <c r="G32" i="15"/>
  <c r="G33" i="15"/>
  <c r="G34" i="15"/>
  <c r="G35" i="15"/>
  <c r="F87" i="15" s="1"/>
  <c r="G36" i="15"/>
  <c r="G117" i="15" s="1"/>
  <c r="H118" i="15" s="1"/>
  <c r="G37" i="15"/>
  <c r="G38" i="15"/>
  <c r="G39" i="15"/>
  <c r="G40" i="15"/>
  <c r="G41" i="15"/>
  <c r="F29" i="15"/>
  <c r="F30" i="15"/>
  <c r="F31" i="15"/>
  <c r="F32" i="15"/>
  <c r="F33" i="15"/>
  <c r="F34" i="15"/>
  <c r="F35" i="15"/>
  <c r="F84" i="15" s="1"/>
  <c r="F36" i="15"/>
  <c r="F117" i="15" s="1"/>
  <c r="G118" i="15" s="1"/>
  <c r="F37" i="15"/>
  <c r="F38" i="15"/>
  <c r="P71" i="15" s="1"/>
  <c r="F39" i="15"/>
  <c r="F40" i="15"/>
  <c r="F41" i="15"/>
  <c r="F42" i="15"/>
  <c r="E29" i="15"/>
  <c r="E30" i="15"/>
  <c r="E31" i="15"/>
  <c r="E32" i="15"/>
  <c r="E33" i="15"/>
  <c r="E34" i="15"/>
  <c r="E35" i="15"/>
  <c r="E84" i="15" s="1"/>
  <c r="E36" i="15"/>
  <c r="E117" i="15" s="1"/>
  <c r="F118" i="15" s="1"/>
  <c r="E37" i="15"/>
  <c r="E38" i="15"/>
  <c r="E39" i="15"/>
  <c r="E40" i="15"/>
  <c r="E41" i="15"/>
  <c r="E42" i="15"/>
  <c r="D29" i="15"/>
  <c r="D30" i="15"/>
  <c r="D31" i="15"/>
  <c r="D32" i="15"/>
  <c r="D33" i="15"/>
  <c r="D34" i="15"/>
  <c r="N68" i="15" s="1"/>
  <c r="D35" i="15"/>
  <c r="D69" i="15" s="1"/>
  <c r="D36" i="15"/>
  <c r="D117" i="15" s="1"/>
  <c r="E118" i="15" s="1"/>
  <c r="D37" i="15"/>
  <c r="D38" i="15"/>
  <c r="D39" i="15"/>
  <c r="D40" i="15"/>
  <c r="D41" i="15"/>
  <c r="D42" i="15"/>
  <c r="C29" i="15"/>
  <c r="C30" i="15"/>
  <c r="C31" i="15"/>
  <c r="C32" i="15"/>
  <c r="C33" i="15"/>
  <c r="C34" i="15"/>
  <c r="C35" i="15"/>
  <c r="C36" i="15"/>
  <c r="D118" i="15" s="1"/>
  <c r="C37" i="15"/>
  <c r="C38" i="15"/>
  <c r="C39" i="15"/>
  <c r="C40" i="15"/>
  <c r="C41" i="15"/>
  <c r="C42" i="15"/>
  <c r="D28" i="15"/>
  <c r="E28" i="15"/>
  <c r="F28" i="15"/>
  <c r="G28" i="15"/>
  <c r="H28" i="15"/>
  <c r="C28" i="15"/>
  <c r="B30" i="15"/>
  <c r="B31" i="15"/>
  <c r="B32" i="15"/>
  <c r="B33" i="15"/>
  <c r="L67" i="15" s="1"/>
  <c r="B34" i="15"/>
  <c r="L68" i="15" s="1"/>
  <c r="B35" i="15"/>
  <c r="B36" i="15"/>
  <c r="L69" i="15" s="1"/>
  <c r="B37" i="15"/>
  <c r="L70" i="15" s="1"/>
  <c r="B38" i="15"/>
  <c r="L71" i="15" s="1"/>
  <c r="B39" i="15"/>
  <c r="L72" i="15" s="1"/>
  <c r="B40" i="15"/>
  <c r="L73" i="15" s="1"/>
  <c r="B41" i="15"/>
  <c r="B42" i="15"/>
  <c r="B29" i="15"/>
  <c r="I5" i="15"/>
  <c r="I68" i="15" s="1"/>
  <c r="I7" i="15"/>
  <c r="I9" i="15"/>
  <c r="I65" i="15" s="1"/>
  <c r="I10" i="15"/>
  <c r="I11" i="15"/>
  <c r="AB5" i="15" s="1"/>
  <c r="I12" i="15"/>
  <c r="I13" i="15"/>
  <c r="H85" i="15" s="1"/>
  <c r="I14" i="15"/>
  <c r="AB6" i="15" s="1"/>
  <c r="I15" i="15"/>
  <c r="I16" i="15"/>
  <c r="I17" i="15"/>
  <c r="I18" i="15"/>
  <c r="I19" i="15"/>
  <c r="I20" i="15"/>
  <c r="AB7" i="15" s="1"/>
  <c r="I21" i="15"/>
  <c r="I22" i="15"/>
  <c r="I23" i="15"/>
  <c r="I24" i="15"/>
  <c r="I25" i="15"/>
  <c r="AB8" i="15" s="1"/>
  <c r="H4" i="15"/>
  <c r="H5" i="15"/>
  <c r="H6" i="15"/>
  <c r="H116" i="15" s="1"/>
  <c r="H7" i="15"/>
  <c r="H8" i="15"/>
  <c r="H76" i="15" s="1"/>
  <c r="H9" i="15"/>
  <c r="H10" i="15"/>
  <c r="H11" i="15"/>
  <c r="AA5" i="15" s="1"/>
  <c r="H12" i="15"/>
  <c r="H13" i="15"/>
  <c r="G85" i="15" s="1"/>
  <c r="H14" i="15"/>
  <c r="AA6" i="15" s="1"/>
  <c r="H15" i="15"/>
  <c r="H16" i="15"/>
  <c r="H17" i="15"/>
  <c r="H18" i="15"/>
  <c r="H19" i="15"/>
  <c r="H20" i="15"/>
  <c r="AA7" i="15" s="1"/>
  <c r="H21" i="15"/>
  <c r="H22" i="15"/>
  <c r="H23" i="15"/>
  <c r="H24" i="15"/>
  <c r="H25" i="15"/>
  <c r="AA8" i="15" s="1"/>
  <c r="G4" i="15"/>
  <c r="G5" i="15"/>
  <c r="G68" i="15" s="1"/>
  <c r="G6" i="15"/>
  <c r="G116" i="15" s="1"/>
  <c r="G7" i="15"/>
  <c r="G8" i="15"/>
  <c r="G76" i="15" s="1"/>
  <c r="G9" i="15"/>
  <c r="G65" i="15" s="1"/>
  <c r="G10" i="15"/>
  <c r="G11" i="15"/>
  <c r="Z5" i="15" s="1"/>
  <c r="G12" i="15"/>
  <c r="G13" i="15"/>
  <c r="G67" i="15" s="1"/>
  <c r="G14" i="15"/>
  <c r="Z6" i="15" s="1"/>
  <c r="G15" i="15"/>
  <c r="G16" i="15"/>
  <c r="G17" i="15"/>
  <c r="G18" i="15"/>
  <c r="G19" i="15"/>
  <c r="G20" i="15"/>
  <c r="Z7" i="15" s="1"/>
  <c r="G21" i="15"/>
  <c r="G22" i="15"/>
  <c r="G23" i="15"/>
  <c r="G24" i="15"/>
  <c r="G25" i="15"/>
  <c r="Z8" i="15" s="1"/>
  <c r="F4" i="15"/>
  <c r="F5" i="15"/>
  <c r="F6" i="15"/>
  <c r="F116" i="15" s="1"/>
  <c r="F7" i="15"/>
  <c r="F8" i="15"/>
  <c r="F76" i="15" s="1"/>
  <c r="F9" i="15"/>
  <c r="F65" i="15" s="1"/>
  <c r="F10" i="15"/>
  <c r="F11" i="15"/>
  <c r="Y5" i="15" s="1"/>
  <c r="F12" i="15"/>
  <c r="F13" i="15"/>
  <c r="E85" i="15" s="1"/>
  <c r="E92" i="15" s="1"/>
  <c r="F14" i="15"/>
  <c r="Y6" i="15" s="1"/>
  <c r="F15" i="15"/>
  <c r="F16" i="15"/>
  <c r="F17" i="15"/>
  <c r="F18" i="15"/>
  <c r="F19" i="15"/>
  <c r="F20" i="15"/>
  <c r="Y7" i="15" s="1"/>
  <c r="F21" i="15"/>
  <c r="F22" i="15"/>
  <c r="F23" i="15"/>
  <c r="F24" i="15"/>
  <c r="F25" i="15"/>
  <c r="Y8" i="15" s="1"/>
  <c r="E4" i="15"/>
  <c r="E5" i="15"/>
  <c r="E68" i="15" s="1"/>
  <c r="E6" i="15"/>
  <c r="E116" i="15" s="1"/>
  <c r="E7" i="15"/>
  <c r="E8" i="15"/>
  <c r="E76" i="15" s="1"/>
  <c r="E9" i="15"/>
  <c r="E10" i="15"/>
  <c r="E11" i="15"/>
  <c r="X5" i="15" s="1"/>
  <c r="E12" i="15"/>
  <c r="E13" i="15"/>
  <c r="E69" i="15" s="1"/>
  <c r="E14" i="15"/>
  <c r="X6" i="15" s="1"/>
  <c r="E15" i="15"/>
  <c r="E16" i="15"/>
  <c r="E17" i="15"/>
  <c r="E18" i="15"/>
  <c r="E19" i="15"/>
  <c r="E20" i="15"/>
  <c r="X7" i="15" s="1"/>
  <c r="E21" i="15"/>
  <c r="E22" i="15"/>
  <c r="E23" i="15"/>
  <c r="E24" i="15"/>
  <c r="E25" i="15"/>
  <c r="X8" i="15" s="1"/>
  <c r="F3" i="15"/>
  <c r="Y4" i="15" s="1"/>
  <c r="G3" i="15"/>
  <c r="H3" i="15"/>
  <c r="H65" i="15" s="1"/>
  <c r="I3" i="15"/>
  <c r="D4" i="15"/>
  <c r="D5" i="15"/>
  <c r="D68" i="15" s="1"/>
  <c r="D6" i="15"/>
  <c r="D116" i="15" s="1"/>
  <c r="D7" i="15"/>
  <c r="D8" i="15"/>
  <c r="D76" i="15" s="1"/>
  <c r="D9" i="15"/>
  <c r="D10" i="15"/>
  <c r="C6" i="21" s="1"/>
  <c r="D11" i="15"/>
  <c r="W5" i="15" s="1"/>
  <c r="D12" i="15"/>
  <c r="D13" i="15"/>
  <c r="C85" i="15" s="1"/>
  <c r="D14" i="15"/>
  <c r="W6" i="15" s="1"/>
  <c r="D15" i="15"/>
  <c r="D16" i="15"/>
  <c r="D17" i="15"/>
  <c r="D18" i="15"/>
  <c r="D19" i="15"/>
  <c r="D20" i="15"/>
  <c r="W7" i="15" s="1"/>
  <c r="D21" i="15"/>
  <c r="D22" i="15"/>
  <c r="D23" i="15"/>
  <c r="O23" i="15" s="1"/>
  <c r="D24" i="15"/>
  <c r="D25" i="15"/>
  <c r="W8" i="15" s="1"/>
  <c r="C5" i="15"/>
  <c r="C65" i="15" s="1"/>
  <c r="C6" i="15"/>
  <c r="C64" i="15" s="1"/>
  <c r="C7" i="15"/>
  <c r="C8" i="15"/>
  <c r="C76" i="15" s="1"/>
  <c r="C9" i="15"/>
  <c r="C10" i="15"/>
  <c r="C66" i="15" s="1"/>
  <c r="C13" i="15"/>
  <c r="C16" i="15"/>
  <c r="C17" i="15"/>
  <c r="C18" i="15"/>
  <c r="C22" i="15"/>
  <c r="N22" i="15" s="1"/>
  <c r="C23" i="15"/>
  <c r="C24" i="15"/>
  <c r="D2" i="15"/>
  <c r="E2" i="15"/>
  <c r="F2" i="15"/>
  <c r="G2" i="15"/>
  <c r="H2" i="15"/>
  <c r="I2" i="15"/>
  <c r="C2" i="15"/>
  <c r="C3" i="15"/>
  <c r="C74" i="15" s="1"/>
  <c r="D3" i="15"/>
  <c r="W4" i="15" s="1"/>
  <c r="E3" i="15"/>
  <c r="E73" i="15" s="1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3" i="15"/>
  <c r="D20" i="11"/>
  <c r="T17" i="11"/>
  <c r="T18" i="11"/>
  <c r="T19" i="11"/>
  <c r="T21" i="11"/>
  <c r="T22" i="11"/>
  <c r="T23" i="11"/>
  <c r="T24" i="11"/>
  <c r="T16" i="11"/>
  <c r="S17" i="11"/>
  <c r="S18" i="11"/>
  <c r="S19" i="11"/>
  <c r="S20" i="11"/>
  <c r="S21" i="11"/>
  <c r="S22" i="11"/>
  <c r="S23" i="11"/>
  <c r="S24" i="11"/>
  <c r="S25" i="11" s="1"/>
  <c r="S16" i="11"/>
  <c r="R17" i="11"/>
  <c r="R18" i="11"/>
  <c r="R19" i="11"/>
  <c r="R20" i="11"/>
  <c r="R21" i="11"/>
  <c r="R22" i="11"/>
  <c r="R23" i="11"/>
  <c r="R24" i="11"/>
  <c r="R16" i="11"/>
  <c r="Q17" i="11"/>
  <c r="Q18" i="11"/>
  <c r="Q19" i="11"/>
  <c r="Q20" i="11"/>
  <c r="Q21" i="11"/>
  <c r="Q22" i="11"/>
  <c r="Q23" i="11"/>
  <c r="Q24" i="11"/>
  <c r="Q16" i="11"/>
  <c r="P17" i="11"/>
  <c r="P20" i="11"/>
  <c r="P21" i="11"/>
  <c r="P22" i="11"/>
  <c r="P23" i="11"/>
  <c r="P24" i="11"/>
  <c r="G8" i="11"/>
  <c r="T20" i="11"/>
  <c r="C19" i="11"/>
  <c r="D19" i="11" s="1"/>
  <c r="C17" i="11"/>
  <c r="D17" i="11" s="1"/>
  <c r="AN23" i="5"/>
  <c r="AL23" i="5"/>
  <c r="AM23" i="5"/>
  <c r="AK23" i="5"/>
  <c r="B41" i="11"/>
  <c r="AE22" i="5"/>
  <c r="AF22" i="5"/>
  <c r="K26" i="2"/>
  <c r="K25" i="2"/>
  <c r="J24" i="2"/>
  <c r="L7" i="11"/>
  <c r="L8" i="11" s="1"/>
  <c r="L5" i="11"/>
  <c r="AB22" i="5"/>
  <c r="AC22" i="5"/>
  <c r="AD22" i="5"/>
  <c r="AA22" i="5"/>
  <c r="AG21" i="5"/>
  <c r="J5" i="7"/>
  <c r="J4" i="7"/>
  <c r="F17" i="11"/>
  <c r="F19" i="11"/>
  <c r="H2" i="11"/>
  <c r="B25" i="11"/>
  <c r="C16" i="11"/>
  <c r="C26" i="11" s="1"/>
  <c r="C18" i="11"/>
  <c r="D18" i="11" s="1"/>
  <c r="C22" i="11"/>
  <c r="D22" i="11" s="1"/>
  <c r="C23" i="11"/>
  <c r="D23" i="11" s="1"/>
  <c r="B26" i="11"/>
  <c r="G3" i="11"/>
  <c r="H3" i="11" s="1"/>
  <c r="G4" i="11"/>
  <c r="H4" i="11" s="1"/>
  <c r="G5" i="11"/>
  <c r="H5" i="11" s="1"/>
  <c r="G6" i="11"/>
  <c r="H6" i="11" s="1"/>
  <c r="G7" i="11"/>
  <c r="H7" i="11" s="1"/>
  <c r="H8" i="11"/>
  <c r="G9" i="11"/>
  <c r="G10" i="11"/>
  <c r="G11" i="11"/>
  <c r="C11" i="11"/>
  <c r="D11" i="11"/>
  <c r="E11" i="11"/>
  <c r="F11" i="11"/>
  <c r="B11" i="11"/>
  <c r="C12" i="11"/>
  <c r="D12" i="11"/>
  <c r="E12" i="11"/>
  <c r="F12" i="11"/>
  <c r="B12" i="11"/>
  <c r="C109" i="15" l="1"/>
  <c r="D109" i="15"/>
  <c r="O24" i="15"/>
  <c r="E77" i="15"/>
  <c r="J77" i="15" s="1"/>
  <c r="E64" i="15"/>
  <c r="D65" i="15"/>
  <c r="C68" i="15"/>
  <c r="H69" i="15"/>
  <c r="Z4" i="15"/>
  <c r="C84" i="15"/>
  <c r="C92" i="15" s="1"/>
  <c r="I117" i="15"/>
  <c r="J118" i="15" s="1"/>
  <c r="W20" i="5"/>
  <c r="AO36" i="2"/>
  <c r="D64" i="15"/>
  <c r="G69" i="15"/>
  <c r="N5" i="16"/>
  <c r="AB4" i="15"/>
  <c r="J3" i="15"/>
  <c r="I66" i="15"/>
  <c r="H67" i="15"/>
  <c r="H68" i="15"/>
  <c r="F121" i="15"/>
  <c r="N65" i="15"/>
  <c r="I77" i="15"/>
  <c r="I64" i="15"/>
  <c r="F67" i="15"/>
  <c r="I75" i="15"/>
  <c r="E65" i="15"/>
  <c r="J65" i="15" s="1"/>
  <c r="F66" i="15"/>
  <c r="E6" i="21"/>
  <c r="H121" i="15"/>
  <c r="G121" i="15"/>
  <c r="W12" i="5"/>
  <c r="W15" i="5" s="1"/>
  <c r="W16" i="5" s="1"/>
  <c r="AO38" i="2"/>
  <c r="M65" i="15"/>
  <c r="V4" i="15"/>
  <c r="D121" i="15"/>
  <c r="G6" i="21"/>
  <c r="H66" i="15"/>
  <c r="N71" i="15"/>
  <c r="E91" i="15"/>
  <c r="J76" i="15"/>
  <c r="N70" i="15"/>
  <c r="H64" i="15"/>
  <c r="E67" i="15"/>
  <c r="I74" i="15"/>
  <c r="I121" i="15"/>
  <c r="R69" i="15"/>
  <c r="AA4" i="15"/>
  <c r="H84" i="15"/>
  <c r="H92" i="15" s="1"/>
  <c r="C96" i="15" s="1"/>
  <c r="X4" i="15"/>
  <c r="D6" i="21"/>
  <c r="J6" i="21" s="1"/>
  <c r="K6" i="21" s="1"/>
  <c r="H6" i="21"/>
  <c r="H77" i="15"/>
  <c r="C72" i="15"/>
  <c r="F68" i="15"/>
  <c r="E121" i="15"/>
  <c r="G66" i="15"/>
  <c r="F6" i="21"/>
  <c r="AO31" i="2"/>
  <c r="AO35" i="2" s="1"/>
  <c r="I32" i="15"/>
  <c r="I110" i="15" s="1"/>
  <c r="G60" i="15"/>
  <c r="G64" i="15"/>
  <c r="D67" i="15"/>
  <c r="I73" i="15"/>
  <c r="J73" i="15" s="1"/>
  <c r="I16" i="11"/>
  <c r="K5" i="21"/>
  <c r="G17" i="11"/>
  <c r="S26" i="11"/>
  <c r="D26" i="11"/>
  <c r="C25" i="11"/>
  <c r="H10" i="11"/>
  <c r="F23" i="11"/>
  <c r="G23" i="11" s="1"/>
  <c r="G12" i="11"/>
  <c r="F18" i="11"/>
  <c r="G18" i="11" s="1"/>
  <c r="Q26" i="11"/>
  <c r="R25" i="11"/>
  <c r="G19" i="11"/>
  <c r="H9" i="11"/>
  <c r="F22" i="11"/>
  <c r="G22" i="11" s="1"/>
  <c r="F20" i="11"/>
  <c r="F16" i="11"/>
  <c r="P19" i="11"/>
  <c r="J46" i="15"/>
  <c r="K46" i="15" s="1"/>
  <c r="L46" i="15" s="1"/>
  <c r="M46" i="15" s="1"/>
  <c r="N46" i="15" s="1"/>
  <c r="I48" i="15"/>
  <c r="B6" i="20" s="1"/>
  <c r="F54" i="17"/>
  <c r="C54" i="17"/>
  <c r="E54" i="17"/>
  <c r="D54" i="17"/>
  <c r="G54" i="17"/>
  <c r="C56" i="17" s="1"/>
  <c r="D125" i="15"/>
  <c r="H109" i="15"/>
  <c r="G109" i="15"/>
  <c r="I51" i="2"/>
  <c r="D112" i="15"/>
  <c r="G108" i="15"/>
  <c r="F108" i="15"/>
  <c r="F109" i="15" s="1"/>
  <c r="E108" i="15"/>
  <c r="I103" i="15"/>
  <c r="C112" i="15"/>
  <c r="H112" i="15"/>
  <c r="F86" i="15"/>
  <c r="F92" i="15"/>
  <c r="D84" i="15"/>
  <c r="E87" i="15"/>
  <c r="E86" i="15" s="1"/>
  <c r="M23" i="15"/>
  <c r="E66" i="15"/>
  <c r="P64" i="15"/>
  <c r="G84" i="15"/>
  <c r="G86" i="15" s="1"/>
  <c r="H126" i="15" s="1"/>
  <c r="D91" i="15"/>
  <c r="D87" i="15"/>
  <c r="D86" i="15" s="1"/>
  <c r="N69" i="15"/>
  <c r="G91" i="15"/>
  <c r="D85" i="15"/>
  <c r="D92" i="15" s="1"/>
  <c r="D66" i="15"/>
  <c r="J66" i="15" s="1"/>
  <c r="I6" i="21" s="1"/>
  <c r="N72" i="15"/>
  <c r="N66" i="15"/>
  <c r="O70" i="15"/>
  <c r="O64" i="15"/>
  <c r="P72" i="15"/>
  <c r="P66" i="15"/>
  <c r="Q69" i="15"/>
  <c r="S70" i="15"/>
  <c r="C91" i="15"/>
  <c r="F91" i="15"/>
  <c r="C87" i="15"/>
  <c r="C86" i="15" s="1"/>
  <c r="O69" i="15"/>
  <c r="P68" i="15"/>
  <c r="P65" i="15"/>
  <c r="Q72" i="15"/>
  <c r="Q66" i="15"/>
  <c r="S66" i="15"/>
  <c r="N67" i="15"/>
  <c r="N64" i="15"/>
  <c r="O72" i="15"/>
  <c r="O66" i="15"/>
  <c r="P70" i="15"/>
  <c r="Q71" i="15"/>
  <c r="Q68" i="15"/>
  <c r="Q65" i="15"/>
  <c r="E72" i="15"/>
  <c r="J75" i="15"/>
  <c r="F60" i="15"/>
  <c r="R66" i="15"/>
  <c r="O71" i="15"/>
  <c r="O68" i="15"/>
  <c r="O65" i="15"/>
  <c r="P69" i="15"/>
  <c r="Q70" i="15"/>
  <c r="Q64" i="15"/>
  <c r="S64" i="15"/>
  <c r="G72" i="15"/>
  <c r="M66" i="15"/>
  <c r="R64" i="15"/>
  <c r="D72" i="15"/>
  <c r="F72" i="15"/>
  <c r="J31" i="15"/>
  <c r="M72" i="15"/>
  <c r="L22" i="15"/>
  <c r="M71" i="15"/>
  <c r="M68" i="15"/>
  <c r="I41" i="15"/>
  <c r="H12" i="5" s="1"/>
  <c r="S69" i="15"/>
  <c r="H72" i="15"/>
  <c r="R68" i="15"/>
  <c r="R70" i="15"/>
  <c r="M70" i="15"/>
  <c r="M67" i="15"/>
  <c r="M64" i="15"/>
  <c r="R72" i="15"/>
  <c r="S65" i="15"/>
  <c r="C60" i="15"/>
  <c r="D60" i="15"/>
  <c r="E60" i="15"/>
  <c r="C67" i="15"/>
  <c r="M69" i="15"/>
  <c r="R71" i="15"/>
  <c r="R65" i="15"/>
  <c r="S72" i="15"/>
  <c r="J22" i="15"/>
  <c r="K22" i="15"/>
  <c r="L23" i="15"/>
  <c r="J23" i="15"/>
  <c r="K23" i="15"/>
  <c r="S68" i="15"/>
  <c r="M22" i="15"/>
  <c r="M24" i="15" s="1"/>
  <c r="M17" i="15" s="1"/>
  <c r="N23" i="15"/>
  <c r="AG23" i="5"/>
  <c r="X129" i="6" s="1"/>
  <c r="R26" i="11"/>
  <c r="Q25" i="11"/>
  <c r="G20" i="11"/>
  <c r="T26" i="11"/>
  <c r="P28" i="11" s="1"/>
  <c r="T25" i="11"/>
  <c r="H12" i="11"/>
  <c r="H11" i="11"/>
  <c r="J64" i="15" l="1"/>
  <c r="J53" i="15"/>
  <c r="J105" i="15" s="1"/>
  <c r="C149" i="15" s="1"/>
  <c r="J9" i="15"/>
  <c r="K3" i="15"/>
  <c r="L3" i="15" s="1"/>
  <c r="M3" i="15" s="1"/>
  <c r="N3" i="15" s="1"/>
  <c r="J10" i="15"/>
  <c r="J29" i="15"/>
  <c r="J47" i="15"/>
  <c r="J48" i="15" s="1"/>
  <c r="H125" i="15"/>
  <c r="C94" i="15"/>
  <c r="D126" i="15"/>
  <c r="I35" i="15"/>
  <c r="T64" i="15"/>
  <c r="AJ88" i="6"/>
  <c r="W32" i="5"/>
  <c r="I18" i="11"/>
  <c r="J8" i="21"/>
  <c r="P16" i="11"/>
  <c r="B8" i="20"/>
  <c r="I8" i="21"/>
  <c r="D25" i="11"/>
  <c r="AG7" i="5"/>
  <c r="B55" i="17"/>
  <c r="D94" i="15"/>
  <c r="E126" i="15"/>
  <c r="G125" i="15"/>
  <c r="F94" i="15"/>
  <c r="G126" i="15"/>
  <c r="F112" i="15"/>
  <c r="E94" i="15"/>
  <c r="F126" i="15"/>
  <c r="G112" i="15"/>
  <c r="E109" i="15"/>
  <c r="E125" i="15" s="1"/>
  <c r="I67" i="15"/>
  <c r="I69" i="15"/>
  <c r="J69" i="15" s="1"/>
  <c r="J74" i="15"/>
  <c r="G92" i="15"/>
  <c r="J67" i="15"/>
  <c r="H87" i="15"/>
  <c r="I84" i="15" s="1"/>
  <c r="H91" i="15"/>
  <c r="J68" i="15"/>
  <c r="J5" i="15" s="1"/>
  <c r="T71" i="15"/>
  <c r="J38" i="15" s="1"/>
  <c r="T66" i="15"/>
  <c r="T65" i="15"/>
  <c r="J30" i="15" s="1"/>
  <c r="T70" i="15"/>
  <c r="K24" i="15"/>
  <c r="K17" i="15" s="1"/>
  <c r="I42" i="15"/>
  <c r="N24" i="15"/>
  <c r="N17" i="15" s="1"/>
  <c r="O17" i="15" s="1"/>
  <c r="J24" i="15"/>
  <c r="J17" i="15" s="1"/>
  <c r="T68" i="15"/>
  <c r="J34" i="15" s="1"/>
  <c r="T69" i="15"/>
  <c r="J36" i="15" s="1"/>
  <c r="L24" i="15"/>
  <c r="L17" i="15" s="1"/>
  <c r="T72" i="15"/>
  <c r="J39" i="15" s="1"/>
  <c r="AE68" i="7"/>
  <c r="AE66" i="7"/>
  <c r="AE69" i="7"/>
  <c r="Y69" i="7"/>
  <c r="Z69" i="7"/>
  <c r="AA69" i="7"/>
  <c r="AB69" i="7"/>
  <c r="AC69" i="7"/>
  <c r="AD69" i="7"/>
  <c r="X69" i="7"/>
  <c r="Y68" i="7"/>
  <c r="Z68" i="7"/>
  <c r="AA68" i="7"/>
  <c r="AB68" i="7"/>
  <c r="AC68" i="7"/>
  <c r="X68" i="7"/>
  <c r="Y66" i="7"/>
  <c r="Z66" i="7"/>
  <c r="AA66" i="7"/>
  <c r="AB66" i="7"/>
  <c r="AC66" i="7"/>
  <c r="X66" i="7"/>
  <c r="AA65" i="7"/>
  <c r="AB65" i="7"/>
  <c r="AC65" i="7"/>
  <c r="J21" i="7"/>
  <c r="W63" i="6"/>
  <c r="X63" i="6"/>
  <c r="Y63" i="6"/>
  <c r="Z63" i="6"/>
  <c r="AA63" i="6"/>
  <c r="V63" i="6"/>
  <c r="AB53" i="6"/>
  <c r="W53" i="6"/>
  <c r="X53" i="6"/>
  <c r="Y53" i="6"/>
  <c r="Z53" i="6"/>
  <c r="AA53" i="6"/>
  <c r="V53" i="6"/>
  <c r="AI20" i="6"/>
  <c r="AH20" i="6"/>
  <c r="AH23" i="6"/>
  <c r="AH24" i="6"/>
  <c r="AH26" i="6" s="1"/>
  <c r="Z130" i="6"/>
  <c r="Y130" i="6"/>
  <c r="W130" i="6"/>
  <c r="V130" i="6"/>
  <c r="U130" i="6"/>
  <c r="T130" i="6"/>
  <c r="S130" i="6"/>
  <c r="R130" i="6"/>
  <c r="W128" i="6"/>
  <c r="V128" i="6"/>
  <c r="U128" i="6"/>
  <c r="T128" i="6"/>
  <c r="S128" i="6"/>
  <c r="R128" i="6"/>
  <c r="W126" i="6"/>
  <c r="V126" i="6"/>
  <c r="U126" i="6"/>
  <c r="T126" i="6"/>
  <c r="S126" i="6"/>
  <c r="R126" i="6"/>
  <c r="W124" i="6"/>
  <c r="V124" i="6"/>
  <c r="U124" i="6"/>
  <c r="T124" i="6"/>
  <c r="S124" i="6"/>
  <c r="R124" i="6"/>
  <c r="N139" i="6"/>
  <c r="I139" i="6"/>
  <c r="J139" i="6"/>
  <c r="K139" i="6"/>
  <c r="L139" i="6"/>
  <c r="M139" i="6"/>
  <c r="H139" i="6"/>
  <c r="D61" i="4"/>
  <c r="E61" i="4"/>
  <c r="F61" i="4"/>
  <c r="G61" i="4"/>
  <c r="C61" i="4"/>
  <c r="D59" i="4"/>
  <c r="E59" i="4"/>
  <c r="F59" i="4"/>
  <c r="G59" i="4"/>
  <c r="C59" i="4"/>
  <c r="N134" i="6"/>
  <c r="N130" i="6"/>
  <c r="N126" i="6"/>
  <c r="M134" i="6"/>
  <c r="M133" i="6"/>
  <c r="M132" i="6"/>
  <c r="M130" i="6"/>
  <c r="M129" i="6"/>
  <c r="M126" i="6"/>
  <c r="I134" i="6"/>
  <c r="J134" i="6"/>
  <c r="K134" i="6"/>
  <c r="L134" i="6"/>
  <c r="H134" i="6"/>
  <c r="I133" i="6"/>
  <c r="J133" i="6"/>
  <c r="K133" i="6"/>
  <c r="L133" i="6"/>
  <c r="H133" i="6"/>
  <c r="I132" i="6"/>
  <c r="J132" i="6"/>
  <c r="K132" i="6"/>
  <c r="L132" i="6"/>
  <c r="H132" i="6"/>
  <c r="I130" i="6"/>
  <c r="J130" i="6"/>
  <c r="K130" i="6"/>
  <c r="L130" i="6"/>
  <c r="H130" i="6"/>
  <c r="I129" i="6"/>
  <c r="J129" i="6"/>
  <c r="K129" i="6"/>
  <c r="L129" i="6"/>
  <c r="H129" i="6"/>
  <c r="I126" i="6"/>
  <c r="J126" i="6"/>
  <c r="K126" i="6"/>
  <c r="L126" i="6"/>
  <c r="H126" i="6"/>
  <c r="D70" i="2"/>
  <c r="C80" i="2"/>
  <c r="H79" i="2"/>
  <c r="G79" i="2"/>
  <c r="F79" i="2"/>
  <c r="E79" i="2"/>
  <c r="D79" i="2"/>
  <c r="H75" i="2"/>
  <c r="G75" i="2"/>
  <c r="F75" i="2"/>
  <c r="E75" i="2"/>
  <c r="H74" i="2"/>
  <c r="G74" i="2"/>
  <c r="F74" i="2"/>
  <c r="E74" i="2"/>
  <c r="D74" i="2"/>
  <c r="H73" i="2"/>
  <c r="G73" i="2"/>
  <c r="F73" i="2"/>
  <c r="E73" i="2"/>
  <c r="D73" i="2"/>
  <c r="C73" i="2"/>
  <c r="H72" i="2"/>
  <c r="G72" i="2"/>
  <c r="G76" i="2" s="1"/>
  <c r="F72" i="2"/>
  <c r="F76" i="2" s="1"/>
  <c r="E72" i="2"/>
  <c r="D72" i="2"/>
  <c r="C72" i="2"/>
  <c r="C76" i="2" s="1"/>
  <c r="H69" i="2"/>
  <c r="G69" i="2"/>
  <c r="F69" i="2"/>
  <c r="E69" i="2"/>
  <c r="D69" i="2"/>
  <c r="C69" i="2"/>
  <c r="H68" i="2"/>
  <c r="G68" i="2"/>
  <c r="F68" i="2"/>
  <c r="E68" i="2"/>
  <c r="D68" i="2"/>
  <c r="C68" i="2"/>
  <c r="J55" i="15" l="1"/>
  <c r="J6" i="15"/>
  <c r="J116" i="15" s="1"/>
  <c r="I85" i="15"/>
  <c r="C130" i="15"/>
  <c r="N9" i="15"/>
  <c r="N10" i="15"/>
  <c r="O3" i="15"/>
  <c r="J107" i="15"/>
  <c r="C151" i="15" s="1"/>
  <c r="D71" i="2"/>
  <c r="I59" i="4"/>
  <c r="I61" i="4"/>
  <c r="K8" i="21"/>
  <c r="P18" i="11"/>
  <c r="G25" i="11"/>
  <c r="AG17" i="5"/>
  <c r="E112" i="15"/>
  <c r="F125" i="15"/>
  <c r="J32" i="15"/>
  <c r="Y124" i="6"/>
  <c r="Y128" i="6"/>
  <c r="Z124" i="6"/>
  <c r="Z126" i="6"/>
  <c r="Y126" i="6"/>
  <c r="Z128" i="6"/>
  <c r="H86" i="15"/>
  <c r="H76" i="2"/>
  <c r="D76" i="2"/>
  <c r="E76" i="2"/>
  <c r="C131" i="15" l="1"/>
  <c r="J13" i="15"/>
  <c r="I92" i="15"/>
  <c r="O9" i="15"/>
  <c r="O5" i="15"/>
  <c r="O10" i="15"/>
  <c r="D78" i="2"/>
  <c r="D81" i="2" s="1"/>
  <c r="P26" i="11"/>
  <c r="P25" i="11"/>
  <c r="C8" i="20"/>
  <c r="G8" i="20"/>
  <c r="K8" i="20"/>
  <c r="D8" i="20"/>
  <c r="H8" i="20"/>
  <c r="L8" i="20"/>
  <c r="P7" i="20" s="1"/>
  <c r="F8" i="20"/>
  <c r="E8" i="20"/>
  <c r="I8" i="20"/>
  <c r="J8" i="20"/>
  <c r="J56" i="15"/>
  <c r="J106" i="15" s="1"/>
  <c r="C150" i="15" s="1"/>
  <c r="J102" i="15"/>
  <c r="C146" i="15" s="1"/>
  <c r="J35" i="15"/>
  <c r="I91" i="15" s="1"/>
  <c r="J110" i="15"/>
  <c r="C154" i="15" s="1"/>
  <c r="G94" i="15"/>
  <c r="H94" i="15" s="1"/>
  <c r="I86" i="15" s="1"/>
  <c r="I126" i="15"/>
  <c r="H8" i="5"/>
  <c r="H7" i="5"/>
  <c r="H6" i="5"/>
  <c r="V35" i="6"/>
  <c r="X7" i="6"/>
  <c r="Y7" i="6"/>
  <c r="Z7" i="6"/>
  <c r="W7" i="6"/>
  <c r="O44" i="6"/>
  <c r="I87" i="15" l="1"/>
  <c r="C133" i="15" s="1"/>
  <c r="C132" i="15"/>
  <c r="J7" i="15"/>
  <c r="J11" i="15" s="1"/>
  <c r="J12" i="15" s="1"/>
  <c r="C8" i="17"/>
  <c r="K86" i="15"/>
  <c r="J86" i="15"/>
  <c r="D132" i="15" s="1"/>
  <c r="J126" i="15"/>
  <c r="C10" i="17" s="1"/>
  <c r="L86" i="15"/>
  <c r="M86" i="15"/>
  <c r="N86" i="15"/>
  <c r="D7" i="4"/>
  <c r="E7" i="4"/>
  <c r="F7" i="4"/>
  <c r="G7" i="4"/>
  <c r="H7" i="4"/>
  <c r="C7" i="4"/>
  <c r="W84" i="6"/>
  <c r="X84" i="6"/>
  <c r="Y84" i="6"/>
  <c r="Z84" i="6"/>
  <c r="V84" i="6"/>
  <c r="U22" i="5"/>
  <c r="T22" i="5"/>
  <c r="R22" i="5"/>
  <c r="R7" i="5"/>
  <c r="S7" i="5"/>
  <c r="T7" i="5"/>
  <c r="U7" i="5"/>
  <c r="AH9" i="6"/>
  <c r="AF87" i="6" s="1"/>
  <c r="D41" i="4"/>
  <c r="E41" i="4"/>
  <c r="F41" i="4"/>
  <c r="G41" i="4"/>
  <c r="H41" i="4"/>
  <c r="C41" i="4"/>
  <c r="D40" i="4"/>
  <c r="E40" i="4"/>
  <c r="F40" i="4"/>
  <c r="G40" i="4"/>
  <c r="H42" i="4"/>
  <c r="G58" i="4" s="1"/>
  <c r="AH30" i="6"/>
  <c r="AG21" i="6"/>
  <c r="AF21" i="6"/>
  <c r="AK21" i="6"/>
  <c r="AJ21" i="6"/>
  <c r="AI21" i="6"/>
  <c r="AH21" i="6"/>
  <c r="D61" i="2"/>
  <c r="E61" i="2"/>
  <c r="F61" i="2"/>
  <c r="G61" i="2"/>
  <c r="H61" i="2"/>
  <c r="C61" i="2"/>
  <c r="D60" i="2"/>
  <c r="E60" i="2"/>
  <c r="F60" i="2"/>
  <c r="G60" i="2"/>
  <c r="H60" i="2"/>
  <c r="C60" i="2"/>
  <c r="D59" i="2"/>
  <c r="E59" i="2"/>
  <c r="F59" i="2"/>
  <c r="G59" i="2"/>
  <c r="H59" i="2"/>
  <c r="C59" i="2"/>
  <c r="D56" i="2"/>
  <c r="E56" i="2"/>
  <c r="F56" i="2"/>
  <c r="G56" i="2"/>
  <c r="H56" i="2"/>
  <c r="C56" i="2"/>
  <c r="H54" i="2"/>
  <c r="D54" i="2"/>
  <c r="E54" i="2"/>
  <c r="F54" i="2"/>
  <c r="G54" i="2"/>
  <c r="C54" i="2"/>
  <c r="D53" i="2"/>
  <c r="E53" i="2"/>
  <c r="F53" i="2"/>
  <c r="G53" i="2"/>
  <c r="H53" i="2"/>
  <c r="C53" i="2"/>
  <c r="AW95" i="6"/>
  <c r="AW94" i="6"/>
  <c r="AW93" i="6"/>
  <c r="AW92" i="6"/>
  <c r="AW96" i="6" s="1"/>
  <c r="AW89" i="6"/>
  <c r="AW88" i="6"/>
  <c r="AW99" i="6"/>
  <c r="BB99" i="6"/>
  <c r="BA99" i="6"/>
  <c r="AZ99" i="6"/>
  <c r="AY99" i="6"/>
  <c r="AX99" i="6"/>
  <c r="BB95" i="6"/>
  <c r="BA95" i="6"/>
  <c r="AZ95" i="6"/>
  <c r="AY95" i="6"/>
  <c r="AX95" i="6"/>
  <c r="BB94" i="6"/>
  <c r="BA94" i="6"/>
  <c r="AX94" i="6"/>
  <c r="BB93" i="6"/>
  <c r="BA93" i="6"/>
  <c r="BA96" i="6" s="1"/>
  <c r="AZ93" i="6"/>
  <c r="AY93" i="6"/>
  <c r="AY96" i="6" s="1"/>
  <c r="AX93" i="6"/>
  <c r="BB92" i="6"/>
  <c r="BB96" i="6" s="1"/>
  <c r="BA92" i="6"/>
  <c r="AZ92" i="6"/>
  <c r="AZ96" i="6" s="1"/>
  <c r="AY92" i="6"/>
  <c r="AX92" i="6"/>
  <c r="AX96" i="6" s="1"/>
  <c r="BB89" i="6"/>
  <c r="BA89" i="6"/>
  <c r="AZ89" i="6"/>
  <c r="AY89" i="6"/>
  <c r="AX89" i="6"/>
  <c r="BB88" i="6"/>
  <c r="BA88" i="6"/>
  <c r="AZ88" i="6"/>
  <c r="AY88" i="6"/>
  <c r="AX88" i="6"/>
  <c r="BA72" i="6"/>
  <c r="BA73" i="6"/>
  <c r="BA74" i="6"/>
  <c r="BB73" i="6"/>
  <c r="AZ73" i="6"/>
  <c r="AY73" i="6"/>
  <c r="AX73" i="6"/>
  <c r="M126" i="15" l="1"/>
  <c r="F10" i="17" s="1"/>
  <c r="F132" i="15"/>
  <c r="L126" i="15"/>
  <c r="E10" i="17" s="1"/>
  <c r="E132" i="15"/>
  <c r="D42" i="4"/>
  <c r="O126" i="15"/>
  <c r="H10" i="17" s="1"/>
  <c r="H132" i="15"/>
  <c r="N126" i="15"/>
  <c r="G10" i="17" s="1"/>
  <c r="G132" i="15"/>
  <c r="J84" i="15"/>
  <c r="E42" i="4"/>
  <c r="D48" i="4" s="1"/>
  <c r="G48" i="4"/>
  <c r="C48" i="4"/>
  <c r="C58" i="4"/>
  <c r="G42" i="4"/>
  <c r="F42" i="4"/>
  <c r="BJ68" i="6"/>
  <c r="BI68" i="6"/>
  <c r="BH68" i="6"/>
  <c r="BG68" i="6"/>
  <c r="BF68" i="6"/>
  <c r="BE68" i="6"/>
  <c r="BB83" i="6"/>
  <c r="BA83" i="6"/>
  <c r="AZ83" i="6"/>
  <c r="AY83" i="6"/>
  <c r="AX83" i="6"/>
  <c r="AW82" i="6"/>
  <c r="BB82" i="6"/>
  <c r="BA82" i="6"/>
  <c r="AZ82" i="6"/>
  <c r="AY82" i="6"/>
  <c r="AX82" i="6"/>
  <c r="BB78" i="6"/>
  <c r="BA78" i="6"/>
  <c r="AZ78" i="6"/>
  <c r="AY78" i="6"/>
  <c r="AX78" i="6"/>
  <c r="AW78" i="6"/>
  <c r="C71" i="7"/>
  <c r="C65" i="7"/>
  <c r="BB76" i="6"/>
  <c r="BA76" i="6"/>
  <c r="AZ76" i="6"/>
  <c r="AY76" i="6"/>
  <c r="AX76" i="6"/>
  <c r="AW76" i="6"/>
  <c r="BB74" i="6"/>
  <c r="AZ74" i="6"/>
  <c r="AY74" i="6"/>
  <c r="AX74" i="6"/>
  <c r="AW74" i="6"/>
  <c r="BB72" i="6"/>
  <c r="AZ72" i="6"/>
  <c r="AY72" i="6"/>
  <c r="AX72" i="6"/>
  <c r="AW72" i="6"/>
  <c r="BA69" i="6"/>
  <c r="AZ69" i="6"/>
  <c r="AY69" i="6"/>
  <c r="AX69" i="6"/>
  <c r="AW69" i="6"/>
  <c r="BB70" i="6"/>
  <c r="BA70" i="6"/>
  <c r="AZ70" i="6"/>
  <c r="AY70" i="6"/>
  <c r="AX70" i="6"/>
  <c r="AW70" i="6"/>
  <c r="BB69" i="6"/>
  <c r="BB68" i="6"/>
  <c r="BB90" i="6" s="1"/>
  <c r="BB91" i="6" s="1"/>
  <c r="BB98" i="6" s="1"/>
  <c r="BB100" i="6" s="1"/>
  <c r="BB104" i="6" s="1"/>
  <c r="BA68" i="6"/>
  <c r="BA90" i="6" s="1"/>
  <c r="BA91" i="6" s="1"/>
  <c r="BA98" i="6" s="1"/>
  <c r="BA100" i="6" s="1"/>
  <c r="BA104" i="6" s="1"/>
  <c r="AZ68" i="6"/>
  <c r="AZ90" i="6" s="1"/>
  <c r="AZ91" i="6" s="1"/>
  <c r="AZ98" i="6" s="1"/>
  <c r="AZ100" i="6" s="1"/>
  <c r="AZ104" i="6" s="1"/>
  <c r="AY68" i="6"/>
  <c r="AY90" i="6" s="1"/>
  <c r="AY91" i="6" s="1"/>
  <c r="AY98" i="6" s="1"/>
  <c r="AY100" i="6" s="1"/>
  <c r="AY104" i="6" s="1"/>
  <c r="AX68" i="6"/>
  <c r="AX90" i="6" s="1"/>
  <c r="AX91" i="6" s="1"/>
  <c r="AX98" i="6" s="1"/>
  <c r="AX100" i="6" s="1"/>
  <c r="AX104" i="6" s="1"/>
  <c r="AW68" i="6"/>
  <c r="AW90" i="6" s="1"/>
  <c r="AW91" i="6" s="1"/>
  <c r="AW98" i="6" s="1"/>
  <c r="AW100" i="6" s="1"/>
  <c r="AW104" i="6" s="1"/>
  <c r="AS113" i="6"/>
  <c r="AQ72" i="6"/>
  <c r="AN72" i="6"/>
  <c r="AN63" i="6"/>
  <c r="AN67" i="6" s="1"/>
  <c r="AN70" i="6" s="1"/>
  <c r="AN118" i="6"/>
  <c r="AO113" i="6"/>
  <c r="AN122" i="6"/>
  <c r="AN113" i="6"/>
  <c r="AN120" i="6" s="1"/>
  <c r="AN123" i="6" s="1"/>
  <c r="AP113" i="6"/>
  <c r="AQ113" i="6"/>
  <c r="AR113" i="6"/>
  <c r="AO118" i="6"/>
  <c r="AP118" i="6"/>
  <c r="AQ118" i="6"/>
  <c r="AR118" i="6"/>
  <c r="AS118" i="6"/>
  <c r="AS120" i="6" s="1"/>
  <c r="AS123" i="6" s="1"/>
  <c r="AO100" i="6"/>
  <c r="AN92" i="6"/>
  <c r="AZ64" i="6"/>
  <c r="AW64" i="6"/>
  <c r="AN79" i="6" s="1"/>
  <c r="AN73" i="6" s="1"/>
  <c r="AN100" i="6"/>
  <c r="AO92" i="6"/>
  <c r="AO102" i="6" s="1"/>
  <c r="AP92" i="6"/>
  <c r="AQ92" i="6"/>
  <c r="AR92" i="6"/>
  <c r="AS92" i="6"/>
  <c r="AP100" i="6"/>
  <c r="AQ100" i="6"/>
  <c r="AR100" i="6"/>
  <c r="AS100" i="6"/>
  <c r="AS102" i="6" s="1"/>
  <c r="AX64" i="6"/>
  <c r="AO79" i="6" s="1"/>
  <c r="AO73" i="6" s="1"/>
  <c r="AO74" i="6" s="1"/>
  <c r="AY64" i="6"/>
  <c r="AP79" i="6" s="1"/>
  <c r="AP73" i="6" s="1"/>
  <c r="AP74" i="6" s="1"/>
  <c r="BA64" i="6"/>
  <c r="AR79" i="6" s="1"/>
  <c r="AR73" i="6" s="1"/>
  <c r="AR74" i="6" s="1"/>
  <c r="BB64" i="6"/>
  <c r="BV45" i="6"/>
  <c r="BU45" i="6"/>
  <c r="BT45" i="6"/>
  <c r="BS45" i="6"/>
  <c r="BR45" i="6"/>
  <c r="BV44" i="6"/>
  <c r="BU44" i="6"/>
  <c r="BR44" i="6"/>
  <c r="BV43" i="6"/>
  <c r="BU43" i="6"/>
  <c r="BT43" i="6"/>
  <c r="BS43" i="6"/>
  <c r="BR43" i="6"/>
  <c r="BV42" i="6"/>
  <c r="BU42" i="6"/>
  <c r="BT42" i="6"/>
  <c r="BS42" i="6"/>
  <c r="BS46" i="6" s="1"/>
  <c r="BR42" i="6"/>
  <c r="BV39" i="6"/>
  <c r="BU39" i="6"/>
  <c r="BT39" i="6"/>
  <c r="BS39" i="6"/>
  <c r="BR39" i="6"/>
  <c r="BV38" i="6"/>
  <c r="BU38" i="6"/>
  <c r="BT38" i="6"/>
  <c r="BS38" i="6"/>
  <c r="BR38" i="6"/>
  <c r="AO63" i="6"/>
  <c r="AO67" i="6" s="1"/>
  <c r="AO70" i="6" s="1"/>
  <c r="AP63" i="6"/>
  <c r="AP67" i="6" s="1"/>
  <c r="AP70" i="6" s="1"/>
  <c r="AQ63" i="6"/>
  <c r="AQ67" i="6" s="1"/>
  <c r="AQ70" i="6" s="1"/>
  <c r="AR63" i="6"/>
  <c r="AR67" i="6" s="1"/>
  <c r="AR70" i="6" s="1"/>
  <c r="AS63" i="6"/>
  <c r="AS64" i="6" s="1"/>
  <c r="AN64" i="6"/>
  <c r="AQ79" i="6"/>
  <c r="AQ73" i="6" s="1"/>
  <c r="AS73" i="6"/>
  <c r="AS74" i="6" s="1"/>
  <c r="BR24" i="6"/>
  <c r="BQ24" i="6"/>
  <c r="AT33" i="6"/>
  <c r="AN33" i="6"/>
  <c r="AN34" i="6" s="1"/>
  <c r="BR20" i="6"/>
  <c r="BQ20" i="6"/>
  <c r="BR19" i="6"/>
  <c r="BQ19" i="6"/>
  <c r="BR18" i="6"/>
  <c r="BQ18" i="6"/>
  <c r="BR17" i="6"/>
  <c r="BQ17" i="6"/>
  <c r="BR15" i="6"/>
  <c r="BQ15" i="6"/>
  <c r="BR14" i="6"/>
  <c r="BQ14" i="6"/>
  <c r="BW14" i="6"/>
  <c r="BV14" i="6"/>
  <c r="BU14" i="6"/>
  <c r="BT14" i="6"/>
  <c r="BS14" i="6"/>
  <c r="BR13" i="6"/>
  <c r="BQ13" i="6"/>
  <c r="BQ16" i="6" s="1"/>
  <c r="BW24" i="6"/>
  <c r="BV24" i="6"/>
  <c r="BU24" i="6"/>
  <c r="BT24" i="6"/>
  <c r="BS24" i="6"/>
  <c r="BS20" i="6"/>
  <c r="BS19" i="6"/>
  <c r="BW18" i="6"/>
  <c r="BW21" i="6" s="1"/>
  <c r="BV18" i="6"/>
  <c r="BV21" i="6" s="1"/>
  <c r="BU18" i="6"/>
  <c r="BU21" i="6" s="1"/>
  <c r="BT18" i="6"/>
  <c r="BT21" i="6" s="1"/>
  <c r="BS18" i="6"/>
  <c r="BS17" i="6"/>
  <c r="BU16" i="6"/>
  <c r="BW15" i="6"/>
  <c r="BV15" i="6"/>
  <c r="BV16" i="6" s="1"/>
  <c r="BU15" i="6"/>
  <c r="BT15" i="6"/>
  <c r="BS15" i="6"/>
  <c r="AT37" i="6"/>
  <c r="AT40" i="6" s="1"/>
  <c r="AT41" i="6" s="1"/>
  <c r="BH33" i="6"/>
  <c r="BI33" i="6"/>
  <c r="BJ33" i="6"/>
  <c r="BK33" i="6"/>
  <c r="BL33" i="6"/>
  <c r="BM33" i="6"/>
  <c r="BG33" i="6"/>
  <c r="AI35" i="2"/>
  <c r="BG17" i="6"/>
  <c r="BG16" i="6"/>
  <c r="BG12" i="6"/>
  <c r="BG11" i="6"/>
  <c r="BG10" i="6"/>
  <c r="BG9" i="6"/>
  <c r="BG6" i="6"/>
  <c r="BG5" i="6"/>
  <c r="BL16" i="6"/>
  <c r="BK16" i="6"/>
  <c r="BJ16" i="6"/>
  <c r="BI16" i="6"/>
  <c r="BH16" i="6"/>
  <c r="BL12" i="6"/>
  <c r="BK12" i="6"/>
  <c r="BJ12" i="6"/>
  <c r="BI12" i="6"/>
  <c r="BH12" i="6"/>
  <c r="BH11" i="6"/>
  <c r="BL10" i="6"/>
  <c r="BK10" i="6"/>
  <c r="BJ10" i="6"/>
  <c r="BI10" i="6"/>
  <c r="BH10" i="6"/>
  <c r="BO4" i="6"/>
  <c r="BO5" i="6" s="1"/>
  <c r="BH7" i="6" s="1"/>
  <c r="BP4" i="6"/>
  <c r="BP5" i="6" s="1"/>
  <c r="BI7" i="6" s="1"/>
  <c r="BI8" i="6" s="1"/>
  <c r="BQ4" i="6"/>
  <c r="BQ5" i="6" s="1"/>
  <c r="BJ7" i="6" s="1"/>
  <c r="BR4" i="6"/>
  <c r="BR5" i="6" s="1"/>
  <c r="BK7" i="6" s="1"/>
  <c r="BS4" i="6"/>
  <c r="BS5" i="6" s="1"/>
  <c r="BL7" i="6" s="1"/>
  <c r="BL8" i="6" s="1"/>
  <c r="BK5" i="6"/>
  <c r="BJ5" i="6"/>
  <c r="BI5" i="6"/>
  <c r="BH5" i="6"/>
  <c r="AF41" i="2"/>
  <c r="AL42" i="2"/>
  <c r="BH35" i="6"/>
  <c r="BH41" i="6" s="1"/>
  <c r="BI35" i="6"/>
  <c r="BI41" i="6" s="1"/>
  <c r="BI49" i="6" s="1"/>
  <c r="BI51" i="6" s="1"/>
  <c r="BJ35" i="6"/>
  <c r="BJ41" i="6" s="1"/>
  <c r="BJ49" i="6" s="1"/>
  <c r="BJ51" i="6" s="1"/>
  <c r="BK35" i="6"/>
  <c r="BK41" i="6" s="1"/>
  <c r="BK49" i="6" s="1"/>
  <c r="BK51" i="6" s="1"/>
  <c r="BL35" i="6"/>
  <c r="BL41" i="6" s="1"/>
  <c r="BM35" i="6"/>
  <c r="BM41" i="6" s="1"/>
  <c r="BM49" i="6" s="1"/>
  <c r="BM51" i="6" s="1"/>
  <c r="BG35" i="6"/>
  <c r="BG41" i="6" s="1"/>
  <c r="BG49" i="6" s="1"/>
  <c r="BG51" i="6" s="1"/>
  <c r="AN19" i="6"/>
  <c r="AV7" i="6"/>
  <c r="AN20" i="6"/>
  <c r="AN15" i="6"/>
  <c r="AN13" i="6"/>
  <c r="AN10" i="6"/>
  <c r="AN8" i="6"/>
  <c r="AN7" i="6"/>
  <c r="AN6" i="6"/>
  <c r="BN4" i="6" s="1"/>
  <c r="BN5" i="6" s="1"/>
  <c r="BG7" i="6" s="1"/>
  <c r="BA7" i="6"/>
  <c r="AW34" i="6"/>
  <c r="AN49" i="6" s="1"/>
  <c r="AN43" i="6" s="1"/>
  <c r="AN44" i="6" s="1"/>
  <c r="AX34" i="6"/>
  <c r="AO49" i="6" s="1"/>
  <c r="AO43" i="6" s="1"/>
  <c r="AO44" i="6" s="1"/>
  <c r="AY34" i="6"/>
  <c r="AP49" i="6" s="1"/>
  <c r="AP43" i="6" s="1"/>
  <c r="AP44" i="6" s="1"/>
  <c r="AZ34" i="6"/>
  <c r="AQ49" i="6" s="1"/>
  <c r="AQ43" i="6" s="1"/>
  <c r="AQ44" i="6" s="1"/>
  <c r="BA34" i="6"/>
  <c r="AR49" i="6" s="1"/>
  <c r="AR43" i="6" s="1"/>
  <c r="AR44" i="6" s="1"/>
  <c r="BB34" i="6"/>
  <c r="AS49" i="6" s="1"/>
  <c r="AS43" i="6" s="1"/>
  <c r="AS44" i="6" s="1"/>
  <c r="BC34" i="6"/>
  <c r="AT49" i="6" s="1"/>
  <c r="AT43" i="6" s="1"/>
  <c r="AT44" i="6" s="1"/>
  <c r="AN30" i="6"/>
  <c r="AO30" i="6"/>
  <c r="AO33" i="6"/>
  <c r="AO37" i="6" s="1"/>
  <c r="AO40" i="6" s="1"/>
  <c r="AP33" i="6"/>
  <c r="AP34" i="6" s="1"/>
  <c r="AQ33" i="6"/>
  <c r="AQ34" i="6" s="1"/>
  <c r="AR33" i="6"/>
  <c r="AR37" i="6" s="1"/>
  <c r="AS33" i="6"/>
  <c r="AS37" i="6" s="1"/>
  <c r="AT34" i="6"/>
  <c r="AN37" i="6"/>
  <c r="AN38" i="6" s="1"/>
  <c r="AQ15" i="6"/>
  <c r="AY7" i="6"/>
  <c r="AX7" i="6"/>
  <c r="AW7" i="6"/>
  <c r="AZ7" i="6"/>
  <c r="AR12" i="6"/>
  <c r="AS13" i="6"/>
  <c r="AR13" i="6"/>
  <c r="AQ13" i="6"/>
  <c r="AP13" i="6"/>
  <c r="AO13" i="6"/>
  <c r="AS11" i="6"/>
  <c r="AR11" i="6"/>
  <c r="AS10" i="6"/>
  <c r="AR10" i="6"/>
  <c r="AQ10" i="6"/>
  <c r="AP10" i="6"/>
  <c r="AO10" i="6"/>
  <c r="AP9" i="6"/>
  <c r="AQ9" i="6"/>
  <c r="AQ12" i="6" s="1"/>
  <c r="AR9" i="6"/>
  <c r="AS9" i="6"/>
  <c r="AO9" i="6"/>
  <c r="C23" i="4"/>
  <c r="W61" i="6"/>
  <c r="X61" i="6"/>
  <c r="Y61" i="6"/>
  <c r="Z61" i="6"/>
  <c r="V61" i="6"/>
  <c r="AA45" i="6"/>
  <c r="Z45" i="6"/>
  <c r="Y45" i="6"/>
  <c r="X45" i="6"/>
  <c r="W45" i="6"/>
  <c r="V46" i="6"/>
  <c r="AA41" i="6"/>
  <c r="Z41" i="6"/>
  <c r="Y41" i="6"/>
  <c r="X41" i="6"/>
  <c r="AA39" i="6"/>
  <c r="AA38" i="6"/>
  <c r="AA35" i="6"/>
  <c r="AA34" i="6"/>
  <c r="AA40" i="6"/>
  <c r="Z40" i="6"/>
  <c r="Y40" i="6"/>
  <c r="X40" i="6"/>
  <c r="W40" i="6"/>
  <c r="Z39" i="6"/>
  <c r="Y39" i="6"/>
  <c r="X39" i="6"/>
  <c r="W39" i="6"/>
  <c r="V39" i="6"/>
  <c r="Z38" i="6"/>
  <c r="Y38" i="6"/>
  <c r="X38" i="6"/>
  <c r="W38" i="6"/>
  <c r="V38" i="6"/>
  <c r="X36" i="6"/>
  <c r="E70" i="2" s="1"/>
  <c r="E71" i="2" s="1"/>
  <c r="E78" i="2" s="1"/>
  <c r="E81" i="2" s="1"/>
  <c r="Y36" i="6"/>
  <c r="F70" i="2" s="1"/>
  <c r="F71" i="2" s="1"/>
  <c r="F78" i="2" s="1"/>
  <c r="F81" i="2" s="1"/>
  <c r="Z36" i="6"/>
  <c r="G70" i="2" s="1"/>
  <c r="G71" i="2" s="1"/>
  <c r="G78" i="2" s="1"/>
  <c r="G81" i="2" s="1"/>
  <c r="V36" i="6"/>
  <c r="C70" i="2" s="1"/>
  <c r="C71" i="2" s="1"/>
  <c r="C78" i="2" s="1"/>
  <c r="C81" i="2" s="1"/>
  <c r="Z35" i="6"/>
  <c r="Y35" i="6"/>
  <c r="X35" i="6"/>
  <c r="W35" i="6"/>
  <c r="Z34" i="6"/>
  <c r="Y34" i="6"/>
  <c r="Y37" i="6" s="1"/>
  <c r="X34" i="6"/>
  <c r="W34" i="6"/>
  <c r="V34" i="6"/>
  <c r="AA22" i="6"/>
  <c r="AA6" i="6"/>
  <c r="AA7" i="6" s="1"/>
  <c r="AA17" i="6"/>
  <c r="Z17" i="6"/>
  <c r="Y17" i="6"/>
  <c r="X17" i="6"/>
  <c r="W17" i="6"/>
  <c r="V17" i="6"/>
  <c r="Q7" i="6"/>
  <c r="T7" i="6"/>
  <c r="S7" i="6"/>
  <c r="R7" i="6"/>
  <c r="P7" i="6"/>
  <c r="O7" i="6"/>
  <c r="AA21" i="6"/>
  <c r="AA15" i="6"/>
  <c r="AA14" i="6"/>
  <c r="AA12" i="6"/>
  <c r="AA11" i="6"/>
  <c r="AA9" i="6"/>
  <c r="AA8" i="6"/>
  <c r="M58" i="7"/>
  <c r="N58" i="7"/>
  <c r="O58" i="7"/>
  <c r="P58" i="7"/>
  <c r="Q58" i="7"/>
  <c r="L58" i="7"/>
  <c r="M45" i="7"/>
  <c r="N45" i="7"/>
  <c r="O45" i="7"/>
  <c r="P45" i="7"/>
  <c r="Q45" i="7"/>
  <c r="L45" i="7"/>
  <c r="M32" i="7"/>
  <c r="N32" i="7"/>
  <c r="O32" i="7"/>
  <c r="P32" i="7"/>
  <c r="Q32" i="7"/>
  <c r="L32" i="7"/>
  <c r="H58" i="7"/>
  <c r="D45" i="7"/>
  <c r="E45" i="7"/>
  <c r="F45" i="7"/>
  <c r="G45" i="7"/>
  <c r="H45" i="7"/>
  <c r="C45" i="7"/>
  <c r="D32" i="7"/>
  <c r="E32" i="7"/>
  <c r="F32" i="7"/>
  <c r="G32" i="7"/>
  <c r="H32" i="7"/>
  <c r="C32" i="7"/>
  <c r="M114" i="6"/>
  <c r="M117" i="6" s="1"/>
  <c r="H57" i="7" s="1"/>
  <c r="H59" i="7" s="1"/>
  <c r="H112" i="6"/>
  <c r="I112" i="6"/>
  <c r="I114" i="6" s="1"/>
  <c r="J112" i="6"/>
  <c r="K112" i="6"/>
  <c r="K114" i="6" s="1"/>
  <c r="L112" i="6"/>
  <c r="L114" i="6" s="1"/>
  <c r="H113" i="6"/>
  <c r="J114" i="6"/>
  <c r="H115" i="6"/>
  <c r="I115" i="6"/>
  <c r="J115" i="6"/>
  <c r="K115" i="6"/>
  <c r="L115" i="6"/>
  <c r="H116" i="6"/>
  <c r="I116" i="6"/>
  <c r="J116" i="6"/>
  <c r="K116" i="6"/>
  <c r="L116" i="6"/>
  <c r="I104" i="6"/>
  <c r="J104" i="6"/>
  <c r="K104" i="6"/>
  <c r="L104" i="6"/>
  <c r="M104" i="6"/>
  <c r="H104" i="6"/>
  <c r="I102" i="6"/>
  <c r="J102" i="6"/>
  <c r="K102" i="6"/>
  <c r="L102" i="6"/>
  <c r="M102" i="6"/>
  <c r="H102" i="6"/>
  <c r="I95" i="6"/>
  <c r="J95" i="6"/>
  <c r="K95" i="6"/>
  <c r="L95" i="6"/>
  <c r="M95" i="6"/>
  <c r="H95" i="6"/>
  <c r="I93" i="6"/>
  <c r="J93" i="6"/>
  <c r="K93" i="6"/>
  <c r="L93" i="6"/>
  <c r="M93" i="6"/>
  <c r="H93" i="6"/>
  <c r="I86" i="6"/>
  <c r="J86" i="6"/>
  <c r="K86" i="6"/>
  <c r="L86" i="6"/>
  <c r="M86" i="6"/>
  <c r="H86" i="6"/>
  <c r="I84" i="6"/>
  <c r="J84" i="6"/>
  <c r="K84" i="6"/>
  <c r="L84" i="6"/>
  <c r="M84" i="6"/>
  <c r="H84" i="6"/>
  <c r="I77" i="6"/>
  <c r="J77" i="6"/>
  <c r="K77" i="6"/>
  <c r="L77" i="6"/>
  <c r="M77" i="6"/>
  <c r="H77" i="6"/>
  <c r="I75" i="6"/>
  <c r="J75" i="6"/>
  <c r="K75" i="6"/>
  <c r="L75" i="6"/>
  <c r="M75" i="6"/>
  <c r="H75" i="6"/>
  <c r="I67" i="6"/>
  <c r="J67" i="6"/>
  <c r="K67" i="6"/>
  <c r="L67" i="6"/>
  <c r="M67" i="6"/>
  <c r="H67" i="6"/>
  <c r="I65" i="6"/>
  <c r="J65" i="6"/>
  <c r="K65" i="6"/>
  <c r="L65" i="6"/>
  <c r="M65" i="6"/>
  <c r="H65" i="6"/>
  <c r="C55" i="7"/>
  <c r="D58" i="7"/>
  <c r="E58" i="7"/>
  <c r="F58" i="7"/>
  <c r="G58" i="7"/>
  <c r="C58" i="7"/>
  <c r="M55" i="7"/>
  <c r="N55" i="7"/>
  <c r="P55" i="7"/>
  <c r="Q55" i="7"/>
  <c r="L55" i="7"/>
  <c r="R55" i="7" s="1"/>
  <c r="D70" i="7" s="1"/>
  <c r="M53" i="7"/>
  <c r="N53" i="7"/>
  <c r="O53" i="7"/>
  <c r="O55" i="7" s="1"/>
  <c r="P53" i="7"/>
  <c r="Q53" i="7"/>
  <c r="L53" i="7"/>
  <c r="Q51" i="7"/>
  <c r="N51" i="7"/>
  <c r="R51" i="7" s="1"/>
  <c r="C70" i="7" s="1"/>
  <c r="O51" i="7"/>
  <c r="P51" i="7"/>
  <c r="M51" i="7"/>
  <c r="L51" i="7"/>
  <c r="N42" i="7"/>
  <c r="O42" i="7"/>
  <c r="P42" i="7"/>
  <c r="M40" i="7"/>
  <c r="M42" i="7" s="1"/>
  <c r="N40" i="7"/>
  <c r="O40" i="7"/>
  <c r="P40" i="7"/>
  <c r="Q40" i="7"/>
  <c r="Q42" i="7" s="1"/>
  <c r="L40" i="7"/>
  <c r="L42" i="7" s="1"/>
  <c r="N38" i="7"/>
  <c r="O38" i="7"/>
  <c r="P38" i="7"/>
  <c r="Q38" i="7"/>
  <c r="M38" i="7"/>
  <c r="L38" i="7"/>
  <c r="R38" i="7" s="1"/>
  <c r="C69" i="7" s="1"/>
  <c r="M29" i="7"/>
  <c r="N29" i="7"/>
  <c r="Q29" i="7"/>
  <c r="L29" i="7"/>
  <c r="R29" i="7" s="1"/>
  <c r="D68" i="7" s="1"/>
  <c r="M27" i="7"/>
  <c r="N27" i="7"/>
  <c r="O27" i="7"/>
  <c r="O29" i="7" s="1"/>
  <c r="P27" i="7"/>
  <c r="P29" i="7" s="1"/>
  <c r="Q27" i="7"/>
  <c r="L27" i="7"/>
  <c r="Q25" i="7"/>
  <c r="P25" i="7"/>
  <c r="O25" i="7"/>
  <c r="N25" i="7"/>
  <c r="M25" i="7"/>
  <c r="L25" i="7"/>
  <c r="R25" i="7" s="1"/>
  <c r="C68" i="7" s="1"/>
  <c r="Z21" i="6"/>
  <c r="Y21" i="6"/>
  <c r="X21" i="6"/>
  <c r="W21" i="6"/>
  <c r="V21" i="6"/>
  <c r="E55" i="7"/>
  <c r="D55" i="7"/>
  <c r="Z22" i="6"/>
  <c r="Y22" i="6"/>
  <c r="X22" i="6"/>
  <c r="W22" i="6"/>
  <c r="V22" i="6"/>
  <c r="H53" i="7"/>
  <c r="H55" i="7" s="1"/>
  <c r="G53" i="7"/>
  <c r="G55" i="7" s="1"/>
  <c r="F53" i="7"/>
  <c r="F55" i="7" s="1"/>
  <c r="E53" i="7"/>
  <c r="D53" i="7"/>
  <c r="C53" i="7"/>
  <c r="E51" i="7"/>
  <c r="F51" i="7"/>
  <c r="G51" i="7"/>
  <c r="H51" i="7"/>
  <c r="D51" i="7"/>
  <c r="C51" i="7"/>
  <c r="I51" i="7" s="1"/>
  <c r="C67" i="7" s="1"/>
  <c r="AF19" i="6"/>
  <c r="AH19" i="6"/>
  <c r="AI19" i="6"/>
  <c r="AJ19" i="6"/>
  <c r="AK19" i="6"/>
  <c r="AG19" i="6"/>
  <c r="AH18" i="6"/>
  <c r="AI18" i="6"/>
  <c r="AJ18" i="6"/>
  <c r="AK18" i="6"/>
  <c r="AG18" i="6"/>
  <c r="AG17" i="6"/>
  <c r="AG20" i="6" s="1"/>
  <c r="AH17" i="6"/>
  <c r="AI17" i="6"/>
  <c r="AJ17" i="6"/>
  <c r="AK17" i="6"/>
  <c r="AF17" i="6"/>
  <c r="D42" i="7"/>
  <c r="H42" i="7"/>
  <c r="AG14" i="6"/>
  <c r="AG15" i="6" s="1"/>
  <c r="AH14" i="6"/>
  <c r="AH15" i="6" s="1"/>
  <c r="AI14" i="6"/>
  <c r="AI15" i="6" s="1"/>
  <c r="AJ14" i="6"/>
  <c r="AJ15" i="6" s="1"/>
  <c r="AK14" i="6"/>
  <c r="AK15" i="6" s="1"/>
  <c r="AF14" i="6"/>
  <c r="AF15" i="6" s="1"/>
  <c r="D40" i="7"/>
  <c r="E40" i="7"/>
  <c r="E42" i="7" s="1"/>
  <c r="F40" i="7"/>
  <c r="F42" i="7" s="1"/>
  <c r="G40" i="7"/>
  <c r="G42" i="7" s="1"/>
  <c r="H40" i="7"/>
  <c r="C40" i="7"/>
  <c r="C42" i="7" s="1"/>
  <c r="I42" i="7" s="1"/>
  <c r="D66" i="7" s="1"/>
  <c r="E38" i="7"/>
  <c r="F38" i="7"/>
  <c r="G38" i="7"/>
  <c r="H38" i="7"/>
  <c r="D38" i="7"/>
  <c r="C38" i="7"/>
  <c r="I38" i="7" s="1"/>
  <c r="C66" i="7" s="1"/>
  <c r="Y15" i="6"/>
  <c r="X15" i="6"/>
  <c r="W15" i="6"/>
  <c r="V15" i="6"/>
  <c r="Z14" i="6"/>
  <c r="Y14" i="6"/>
  <c r="X14" i="6"/>
  <c r="W14" i="6"/>
  <c r="V14" i="6"/>
  <c r="Q14" i="5"/>
  <c r="D29" i="7"/>
  <c r="E29" i="7"/>
  <c r="V12" i="6"/>
  <c r="Z12" i="6"/>
  <c r="Y12" i="6"/>
  <c r="X12" i="6"/>
  <c r="W12" i="6"/>
  <c r="Z11" i="6"/>
  <c r="Y11" i="6"/>
  <c r="X11" i="6"/>
  <c r="D27" i="7"/>
  <c r="E27" i="7"/>
  <c r="F27" i="7"/>
  <c r="F29" i="7" s="1"/>
  <c r="G27" i="7"/>
  <c r="G29" i="7" s="1"/>
  <c r="H27" i="7"/>
  <c r="H29" i="7" s="1"/>
  <c r="C29" i="7"/>
  <c r="I29" i="7" s="1"/>
  <c r="D65" i="7" s="1"/>
  <c r="E25" i="7"/>
  <c r="F25" i="7"/>
  <c r="G25" i="7"/>
  <c r="H25" i="7"/>
  <c r="D25" i="7"/>
  <c r="C25" i="7"/>
  <c r="I25" i="7" s="1"/>
  <c r="W11" i="6"/>
  <c r="AG9" i="6"/>
  <c r="AI9" i="6"/>
  <c r="AJ9" i="6"/>
  <c r="AK9" i="6"/>
  <c r="V11" i="6"/>
  <c r="AF9" i="6"/>
  <c r="V9" i="6"/>
  <c r="Z8" i="6"/>
  <c r="Y8" i="6"/>
  <c r="X8" i="6"/>
  <c r="W8" i="6"/>
  <c r="V8" i="6"/>
  <c r="V72" i="6" s="1"/>
  <c r="G38" i="6"/>
  <c r="I31" i="6"/>
  <c r="J31" i="6"/>
  <c r="K31" i="6"/>
  <c r="L31" i="6"/>
  <c r="M31" i="6"/>
  <c r="H31" i="6"/>
  <c r="I30" i="6"/>
  <c r="L39" i="6" s="1"/>
  <c r="J30" i="6"/>
  <c r="K39" i="6" s="1"/>
  <c r="K30" i="6"/>
  <c r="J39" i="6" s="1"/>
  <c r="L30" i="6"/>
  <c r="I39" i="6" s="1"/>
  <c r="M30" i="6"/>
  <c r="H39" i="6" s="1"/>
  <c r="H30" i="6"/>
  <c r="M39" i="6" s="1"/>
  <c r="D58" i="4" l="1"/>
  <c r="J85" i="15"/>
  <c r="D130" i="15"/>
  <c r="J87" i="15"/>
  <c r="D8" i="17"/>
  <c r="J92" i="15"/>
  <c r="E48" i="4"/>
  <c r="E58" i="4"/>
  <c r="F48" i="4"/>
  <c r="F58" i="4"/>
  <c r="H78" i="6"/>
  <c r="H81" i="6" s="1"/>
  <c r="C44" i="7" s="1"/>
  <c r="C46" i="7" s="1"/>
  <c r="O39" i="6"/>
  <c r="H68" i="6"/>
  <c r="H71" i="6" s="1"/>
  <c r="C31" i="7" s="1"/>
  <c r="C33" i="7" s="1"/>
  <c r="J68" i="6"/>
  <c r="J71" i="6" s="1"/>
  <c r="E31" i="7" s="1"/>
  <c r="E33" i="7" s="1"/>
  <c r="L68" i="6"/>
  <c r="L71" i="6" s="1"/>
  <c r="G31" i="7" s="1"/>
  <c r="G33" i="7" s="1"/>
  <c r="J87" i="6"/>
  <c r="J90" i="6" s="1"/>
  <c r="N31" i="7" s="1"/>
  <c r="N33" i="7" s="1"/>
  <c r="H96" i="6"/>
  <c r="H99" i="6" s="1"/>
  <c r="L44" i="7" s="1"/>
  <c r="BG8" i="6"/>
  <c r="W10" i="6"/>
  <c r="W13" i="6" s="1"/>
  <c r="W72" i="6"/>
  <c r="X10" i="6"/>
  <c r="X72" i="6"/>
  <c r="AG87" i="6"/>
  <c r="AI30" i="6"/>
  <c r="Y10" i="6"/>
  <c r="Y72" i="6"/>
  <c r="AE87" i="6"/>
  <c r="AG30" i="6"/>
  <c r="AH89" i="6"/>
  <c r="AJ31" i="6"/>
  <c r="Z10" i="6"/>
  <c r="Z72" i="6"/>
  <c r="AI87" i="6"/>
  <c r="AK30" i="6"/>
  <c r="AG89" i="6"/>
  <c r="AI31" i="6"/>
  <c r="AA36" i="6"/>
  <c r="H70" i="2" s="1"/>
  <c r="H71" i="2" s="1"/>
  <c r="H78" i="2" s="1"/>
  <c r="H81" i="2" s="1"/>
  <c r="AA72" i="6"/>
  <c r="AH87" i="6"/>
  <c r="AJ30" i="6"/>
  <c r="AD89" i="6"/>
  <c r="AF31" i="6"/>
  <c r="AF89" i="6"/>
  <c r="AH31" i="6"/>
  <c r="AF20" i="6"/>
  <c r="AF23" i="6" s="1"/>
  <c r="AF24" i="6" s="1"/>
  <c r="V42" i="6"/>
  <c r="Z42" i="6"/>
  <c r="AF30" i="6"/>
  <c r="AD87" i="6"/>
  <c r="AI89" i="6"/>
  <c r="AK31" i="6"/>
  <c r="AE89" i="6"/>
  <c r="AG31" i="6"/>
  <c r="BI13" i="6"/>
  <c r="BV46" i="6"/>
  <c r="BH8" i="6"/>
  <c r="BJ13" i="6"/>
  <c r="BR21" i="6"/>
  <c r="AQ74" i="6"/>
  <c r="BT46" i="6"/>
  <c r="AP12" i="6"/>
  <c r="BH43" i="6"/>
  <c r="BK8" i="6"/>
  <c r="BK13" i="6"/>
  <c r="BS16" i="6"/>
  <c r="BW16" i="6"/>
  <c r="BR16" i="6"/>
  <c r="BU46" i="6"/>
  <c r="BB71" i="6"/>
  <c r="BB75" i="6" s="1"/>
  <c r="BB77" i="6" s="1"/>
  <c r="BJ67" i="6" s="1"/>
  <c r="BJ69" i="6" s="1"/>
  <c r="BB84" i="6" s="1"/>
  <c r="BB79" i="6" s="1"/>
  <c r="BB80" i="6" s="1"/>
  <c r="BB81" i="6" s="1"/>
  <c r="AR40" i="6"/>
  <c r="AR41" i="6" s="1"/>
  <c r="AR38" i="6"/>
  <c r="AK20" i="6"/>
  <c r="AK23" i="6" s="1"/>
  <c r="AK24" i="6" s="1"/>
  <c r="AG23" i="6"/>
  <c r="AG24" i="6" s="1"/>
  <c r="AG26" i="6" s="1"/>
  <c r="AI23" i="6"/>
  <c r="AI24" i="6" s="1"/>
  <c r="AI26" i="6" s="1"/>
  <c r="AN9" i="6"/>
  <c r="AN12" i="6" s="1"/>
  <c r="AN14" i="6" s="1"/>
  <c r="AV6" i="6" s="1"/>
  <c r="BH13" i="6"/>
  <c r="BL13" i="6"/>
  <c r="BG13" i="6"/>
  <c r="BG15" i="6" s="1"/>
  <c r="BG18" i="6" s="1"/>
  <c r="BG21" i="6" s="1"/>
  <c r="BG43" i="6"/>
  <c r="BV23" i="6"/>
  <c r="BV25" i="6" s="1"/>
  <c r="BV29" i="6" s="1"/>
  <c r="BT16" i="6"/>
  <c r="BT23" i="6" s="1"/>
  <c r="BT25" i="6" s="1"/>
  <c r="BT29" i="6" s="1"/>
  <c r="AO64" i="6"/>
  <c r="AY71" i="6"/>
  <c r="V10" i="6"/>
  <c r="V13" i="6" s="1"/>
  <c r="BK15" i="6"/>
  <c r="BK18" i="6" s="1"/>
  <c r="BK21" i="6" s="1"/>
  <c r="BI43" i="6"/>
  <c r="BQ21" i="6"/>
  <c r="BQ23" i="6" s="1"/>
  <c r="BQ25" i="6" s="1"/>
  <c r="BQ29" i="6" s="1"/>
  <c r="BR46" i="6"/>
  <c r="AP102" i="6"/>
  <c r="BJ8" i="6"/>
  <c r="BJ15" i="6" s="1"/>
  <c r="BJ18" i="6" s="1"/>
  <c r="BJ21" i="6" s="1"/>
  <c r="BA71" i="6"/>
  <c r="BA75" i="6" s="1"/>
  <c r="AS12" i="6"/>
  <c r="AR34" i="6"/>
  <c r="BS21" i="6"/>
  <c r="AV8" i="6"/>
  <c r="AN21" i="6" s="1"/>
  <c r="AN16" i="6" s="1"/>
  <c r="AN17" i="6" s="1"/>
  <c r="AN18" i="6" s="1"/>
  <c r="BW23" i="6"/>
  <c r="BW25" i="6" s="1"/>
  <c r="BW29" i="6" s="1"/>
  <c r="BL43" i="6"/>
  <c r="BK43" i="6"/>
  <c r="BL15" i="6"/>
  <c r="BL18" i="6" s="1"/>
  <c r="BL21" i="6" s="1"/>
  <c r="BU23" i="6"/>
  <c r="BU25" i="6" s="1"/>
  <c r="BU29" i="6" s="1"/>
  <c r="X13" i="6"/>
  <c r="AQ120" i="6"/>
  <c r="AQ123" i="6" s="1"/>
  <c r="AO120" i="6"/>
  <c r="AO123" i="6" s="1"/>
  <c r="AX71" i="6"/>
  <c r="AX75" i="6" s="1"/>
  <c r="BH15" i="6"/>
  <c r="BH18" i="6" s="1"/>
  <c r="BH21" i="6" s="1"/>
  <c r="Y13" i="6"/>
  <c r="K68" i="6"/>
  <c r="K71" i="6" s="1"/>
  <c r="F31" i="7" s="1"/>
  <c r="F33" i="7" s="1"/>
  <c r="M68" i="6"/>
  <c r="M71" i="6" s="1"/>
  <c r="H31" i="7" s="1"/>
  <c r="H33" i="7" s="1"/>
  <c r="I68" i="6"/>
  <c r="I71" i="6" s="1"/>
  <c r="D31" i="7" s="1"/>
  <c r="D33" i="7" s="1"/>
  <c r="I96" i="6"/>
  <c r="I99" i="6" s="1"/>
  <c r="M44" i="7" s="1"/>
  <c r="M46" i="7" s="1"/>
  <c r="K105" i="6"/>
  <c r="K108" i="6" s="1"/>
  <c r="O57" i="7" s="1"/>
  <c r="O59" i="7" s="1"/>
  <c r="V37" i="6"/>
  <c r="V44" i="6" s="1"/>
  <c r="V47" i="6" s="1"/>
  <c r="Y42" i="6"/>
  <c r="AA37" i="6"/>
  <c r="AO12" i="6"/>
  <c r="AO14" i="6" s="1"/>
  <c r="AW6" i="6" s="1"/>
  <c r="AW8" i="6" s="1"/>
  <c r="AO21" i="6" s="1"/>
  <c r="AO16" i="6" s="1"/>
  <c r="AO17" i="6" s="1"/>
  <c r="AO18" i="6" s="1"/>
  <c r="AQ37" i="6"/>
  <c r="AQ40" i="6" s="1"/>
  <c r="AQ41" i="6" s="1"/>
  <c r="AR102" i="6"/>
  <c r="AP120" i="6"/>
  <c r="AP123" i="6" s="1"/>
  <c r="K117" i="6"/>
  <c r="AQ14" i="6"/>
  <c r="AY6" i="6" s="1"/>
  <c r="AY8" i="6" s="1"/>
  <c r="AQ21" i="6" s="1"/>
  <c r="AQ16" i="6" s="1"/>
  <c r="AQ17" i="6" s="1"/>
  <c r="AQ18" i="6" s="1"/>
  <c r="AR14" i="6"/>
  <c r="AZ6" i="6" s="1"/>
  <c r="AZ8" i="6" s="1"/>
  <c r="AR21" i="6" s="1"/>
  <c r="AR16" i="6" s="1"/>
  <c r="AR17" i="6" s="1"/>
  <c r="AR18" i="6" s="1"/>
  <c r="AP37" i="6"/>
  <c r="BI15" i="6"/>
  <c r="BI18" i="6" s="1"/>
  <c r="BI21" i="6" s="1"/>
  <c r="BH49" i="6"/>
  <c r="BH51" i="6" s="1"/>
  <c r="AN102" i="6"/>
  <c r="AZ71" i="6"/>
  <c r="AW71" i="6"/>
  <c r="AQ102" i="6"/>
  <c r="AR120" i="6"/>
  <c r="AR123" i="6" s="1"/>
  <c r="AN74" i="6"/>
  <c r="AN75" i="6" s="1"/>
  <c r="AS67" i="6"/>
  <c r="AS70" i="6" s="1"/>
  <c r="AS71" i="6" s="1"/>
  <c r="AR64" i="6"/>
  <c r="AO76" i="6"/>
  <c r="AO68" i="6"/>
  <c r="AQ64" i="6"/>
  <c r="AR75" i="6"/>
  <c r="AQ68" i="6"/>
  <c r="AP75" i="6"/>
  <c r="AP68" i="6"/>
  <c r="AR71" i="6"/>
  <c r="AR76" i="6"/>
  <c r="AR126" i="6" s="1"/>
  <c r="AN71" i="6"/>
  <c r="AR68" i="6"/>
  <c r="AN68" i="6"/>
  <c r="AP64" i="6"/>
  <c r="AT38" i="6"/>
  <c r="AN40" i="6"/>
  <c r="AN41" i="6" s="1"/>
  <c r="BM43" i="6"/>
  <c r="BJ43" i="6"/>
  <c r="BL49" i="6"/>
  <c r="BL51" i="6" s="1"/>
  <c r="AS38" i="6"/>
  <c r="AS40" i="6"/>
  <c r="AO38" i="6"/>
  <c r="AR46" i="6"/>
  <c r="AT45" i="6"/>
  <c r="AT46" i="6"/>
  <c r="AS34" i="6"/>
  <c r="AO34" i="6"/>
  <c r="AP14" i="6"/>
  <c r="AX6" i="6" s="1"/>
  <c r="AX8" i="6" s="1"/>
  <c r="AP21" i="6" s="1"/>
  <c r="AP16" i="6" s="1"/>
  <c r="AP17" i="6" s="1"/>
  <c r="AP18" i="6" s="1"/>
  <c r="AS14" i="6"/>
  <c r="BA6" i="6" s="1"/>
  <c r="BA8" i="6" s="1"/>
  <c r="AS21" i="6" s="1"/>
  <c r="AS16" i="6" s="1"/>
  <c r="AS17" i="6" s="1"/>
  <c r="AS18" i="6" s="1"/>
  <c r="Z37" i="6"/>
  <c r="Z44" i="6" s="1"/>
  <c r="Z47" i="6" s="1"/>
  <c r="Z62" i="6" s="1"/>
  <c r="X42" i="6"/>
  <c r="W42" i="6"/>
  <c r="AA42" i="6"/>
  <c r="AJ20" i="6"/>
  <c r="AJ23" i="6" s="1"/>
  <c r="AJ24" i="6" s="1"/>
  <c r="M78" i="6"/>
  <c r="M81" i="6" s="1"/>
  <c r="H44" i="7" s="1"/>
  <c r="H46" i="7" s="1"/>
  <c r="I78" i="6"/>
  <c r="I81" i="6" s="1"/>
  <c r="D44" i="7" s="1"/>
  <c r="D46" i="7" s="1"/>
  <c r="M87" i="6"/>
  <c r="M90" i="6" s="1"/>
  <c r="Q31" i="7" s="1"/>
  <c r="Q33" i="7" s="1"/>
  <c r="I87" i="6"/>
  <c r="I90" i="6" s="1"/>
  <c r="M31" i="7" s="1"/>
  <c r="M33" i="7" s="1"/>
  <c r="M96" i="6"/>
  <c r="M99" i="6" s="1"/>
  <c r="Q44" i="7" s="1"/>
  <c r="Q46" i="7" s="1"/>
  <c r="H105" i="6"/>
  <c r="H108" i="6" s="1"/>
  <c r="L57" i="7" s="1"/>
  <c r="L59" i="7" s="1"/>
  <c r="J105" i="6"/>
  <c r="J108" i="6" s="1"/>
  <c r="N57" i="7" s="1"/>
  <c r="N59" i="7" s="1"/>
  <c r="Z13" i="6"/>
  <c r="G57" i="7" s="1"/>
  <c r="G59" i="7" s="1"/>
  <c r="I105" i="6"/>
  <c r="I108" i="6" s="1"/>
  <c r="M57" i="7" s="1"/>
  <c r="M59" i="7" s="1"/>
  <c r="H114" i="6"/>
  <c r="X37" i="6"/>
  <c r="X44" i="6" s="1"/>
  <c r="X47" i="6" s="1"/>
  <c r="X50" i="6" s="1"/>
  <c r="W37" i="6"/>
  <c r="I55" i="7"/>
  <c r="D67" i="7" s="1"/>
  <c r="D71" i="7" s="1"/>
  <c r="R42" i="7"/>
  <c r="D69" i="7" s="1"/>
  <c r="Z50" i="6"/>
  <c r="V16" i="6"/>
  <c r="C57" i="7"/>
  <c r="C59" i="7" s="1"/>
  <c r="Y44" i="6"/>
  <c r="Y47" i="6" s="1"/>
  <c r="W16" i="6"/>
  <c r="D57" i="7"/>
  <c r="D59" i="7" s="1"/>
  <c r="X16" i="6"/>
  <c r="E57" i="7"/>
  <c r="E59" i="7" s="1"/>
  <c r="F57" i="7"/>
  <c r="F59" i="7" s="1"/>
  <c r="Y16" i="6"/>
  <c r="L78" i="6"/>
  <c r="L81" i="6" s="1"/>
  <c r="G44" i="7" s="1"/>
  <c r="G46" i="7" s="1"/>
  <c r="J78" i="6"/>
  <c r="J81" i="6" s="1"/>
  <c r="E44" i="7" s="1"/>
  <c r="E46" i="7" s="1"/>
  <c r="H87" i="6"/>
  <c r="H90" i="6" s="1"/>
  <c r="L31" i="7" s="1"/>
  <c r="L33" i="7" s="1"/>
  <c r="J96" i="6"/>
  <c r="J99" i="6" s="1"/>
  <c r="N44" i="7" s="1"/>
  <c r="N46" i="7" s="1"/>
  <c r="I117" i="6"/>
  <c r="J117" i="6"/>
  <c r="L87" i="6"/>
  <c r="L90" i="6" s="1"/>
  <c r="P31" i="7" s="1"/>
  <c r="P33" i="7" s="1"/>
  <c r="M105" i="6"/>
  <c r="M108" i="6" s="1"/>
  <c r="Q57" i="7" s="1"/>
  <c r="Q59" i="7" s="1"/>
  <c r="K87" i="6"/>
  <c r="K90" i="6" s="1"/>
  <c r="O31" i="7" s="1"/>
  <c r="O33" i="7" s="1"/>
  <c r="L105" i="6"/>
  <c r="L108" i="6" s="1"/>
  <c r="P57" i="7" s="1"/>
  <c r="P59" i="7" s="1"/>
  <c r="L117" i="6"/>
  <c r="AA61" i="6"/>
  <c r="L46" i="7"/>
  <c r="L96" i="6"/>
  <c r="L99" i="6" s="1"/>
  <c r="P44" i="7" s="1"/>
  <c r="P46" i="7" s="1"/>
  <c r="AA10" i="6"/>
  <c r="AA13" i="6" s="1"/>
  <c r="AA16" i="6" s="1"/>
  <c r="T6" i="6" s="1"/>
  <c r="K78" i="6"/>
  <c r="K81" i="6" s="1"/>
  <c r="F44" i="7" s="1"/>
  <c r="F46" i="7" s="1"/>
  <c r="K96" i="6"/>
  <c r="K99" i="6" s="1"/>
  <c r="O44" i="7" s="1"/>
  <c r="O46" i="7" s="1"/>
  <c r="H117" i="6"/>
  <c r="I18" i="2"/>
  <c r="I25" i="2"/>
  <c r="I24" i="2"/>
  <c r="I13" i="7"/>
  <c r="I15" i="2"/>
  <c r="I12" i="2"/>
  <c r="I11" i="2"/>
  <c r="I8" i="2"/>
  <c r="I7" i="2"/>
  <c r="I5" i="2"/>
  <c r="I9" i="2" s="1"/>
  <c r="C13" i="7"/>
  <c r="D13" i="7"/>
  <c r="E13" i="7"/>
  <c r="F13" i="7"/>
  <c r="F15" i="7" s="1"/>
  <c r="F21" i="7" s="1"/>
  <c r="G13" i="7"/>
  <c r="G15" i="7" s="1"/>
  <c r="G21" i="7" s="1"/>
  <c r="H13" i="7"/>
  <c r="H15" i="7" s="1"/>
  <c r="H21" i="7" s="1"/>
  <c r="I14" i="7"/>
  <c r="H14" i="7"/>
  <c r="G14" i="7"/>
  <c r="F14" i="7"/>
  <c r="E14" i="7"/>
  <c r="D14" i="7"/>
  <c r="C14" i="7"/>
  <c r="G20" i="7"/>
  <c r="AB67" i="7" s="1"/>
  <c r="E20" i="7"/>
  <c r="Z67" i="7" s="1"/>
  <c r="F20" i="7"/>
  <c r="AA67" i="7" s="1"/>
  <c r="H20" i="7"/>
  <c r="AC67" i="7" s="1"/>
  <c r="I20" i="7"/>
  <c r="AD67" i="7" s="1"/>
  <c r="C19" i="7"/>
  <c r="X65" i="7" s="1"/>
  <c r="I19" i="7"/>
  <c r="H5" i="7"/>
  <c r="H19" i="7" s="1"/>
  <c r="G5" i="7"/>
  <c r="G19" i="7" s="1"/>
  <c r="F5" i="7"/>
  <c r="F19" i="7" s="1"/>
  <c r="E19" i="7"/>
  <c r="Z65" i="7" s="1"/>
  <c r="D19" i="7"/>
  <c r="Y65" i="7" s="1"/>
  <c r="D31" i="4"/>
  <c r="E31" i="4"/>
  <c r="F31" i="4"/>
  <c r="G31" i="4"/>
  <c r="H31" i="4"/>
  <c r="C31" i="4"/>
  <c r="R14" i="5"/>
  <c r="S14" i="5"/>
  <c r="T14" i="5"/>
  <c r="U14" i="5"/>
  <c r="S19" i="5"/>
  <c r="T19" i="5"/>
  <c r="U19" i="5"/>
  <c r="R19" i="5"/>
  <c r="R18" i="5"/>
  <c r="S18" i="5"/>
  <c r="T18" i="5"/>
  <c r="U18" i="5"/>
  <c r="V18" i="5"/>
  <c r="Q18" i="5"/>
  <c r="Q21" i="5" s="1"/>
  <c r="R9" i="5"/>
  <c r="R10" i="5" s="1"/>
  <c r="AE86" i="6" s="1"/>
  <c r="S9" i="5"/>
  <c r="T9" i="5"/>
  <c r="T10" i="5" s="1"/>
  <c r="AG86" i="6" s="1"/>
  <c r="U9" i="5"/>
  <c r="V9" i="5"/>
  <c r="Q9" i="5"/>
  <c r="Q7" i="5"/>
  <c r="C34" i="2"/>
  <c r="C37" i="2" s="1"/>
  <c r="R40" i="2"/>
  <c r="B48" i="2"/>
  <c r="C6" i="2"/>
  <c r="E6" i="2"/>
  <c r="F6" i="2"/>
  <c r="G6" i="2"/>
  <c r="H6" i="2"/>
  <c r="D6" i="2"/>
  <c r="BL32" i="2"/>
  <c r="BL33" i="2"/>
  <c r="BL34" i="2"/>
  <c r="BL37" i="2"/>
  <c r="D40" i="2"/>
  <c r="E40" i="2"/>
  <c r="E41" i="2" s="1"/>
  <c r="F40" i="2"/>
  <c r="F41" i="2" s="1"/>
  <c r="V37" i="2" s="1"/>
  <c r="G40" i="2"/>
  <c r="G41" i="2" s="1"/>
  <c r="H40" i="2"/>
  <c r="H41" i="2" s="1"/>
  <c r="C40" i="2"/>
  <c r="C41" i="2" s="1"/>
  <c r="S37" i="2" s="1"/>
  <c r="M9" i="2"/>
  <c r="M10" i="2" s="1"/>
  <c r="N9" i="2"/>
  <c r="N10" i="2" s="1"/>
  <c r="O9" i="2"/>
  <c r="O10" i="2" s="1"/>
  <c r="P9" i="2"/>
  <c r="P10" i="2" s="1"/>
  <c r="Q9" i="2"/>
  <c r="Q10" i="2" s="1"/>
  <c r="L9" i="2"/>
  <c r="L10" i="2" s="1"/>
  <c r="G26" i="5"/>
  <c r="F26" i="5"/>
  <c r="E26" i="5"/>
  <c r="D26" i="5"/>
  <c r="C26" i="5"/>
  <c r="B26" i="5"/>
  <c r="A19" i="5"/>
  <c r="A20" i="5"/>
  <c r="C13" i="5"/>
  <c r="D13" i="5"/>
  <c r="E13" i="5"/>
  <c r="F13" i="5"/>
  <c r="G13" i="5"/>
  <c r="B13" i="5"/>
  <c r="D13" i="4"/>
  <c r="E13" i="4"/>
  <c r="F13" i="4"/>
  <c r="G13" i="4"/>
  <c r="H13" i="4"/>
  <c r="I14" i="4" s="1"/>
  <c r="I24" i="4" s="1"/>
  <c r="C13" i="4"/>
  <c r="BH32" i="2"/>
  <c r="BI32" i="2"/>
  <c r="BJ32" i="2"/>
  <c r="BK32" i="2"/>
  <c r="BG32" i="2"/>
  <c r="BG37" i="2"/>
  <c r="BH37" i="2"/>
  <c r="BI37" i="2"/>
  <c r="BJ37" i="2"/>
  <c r="BK37" i="2"/>
  <c r="BG35" i="2"/>
  <c r="BK34" i="2"/>
  <c r="BJ34" i="2"/>
  <c r="BI34" i="2"/>
  <c r="BK33" i="2"/>
  <c r="BJ33" i="2"/>
  <c r="BI33" i="2"/>
  <c r="BH33" i="2"/>
  <c r="BG33" i="2"/>
  <c r="AY38" i="2"/>
  <c r="AZ38" i="2"/>
  <c r="BA38" i="2"/>
  <c r="BB38" i="2"/>
  <c r="BC38" i="2"/>
  <c r="BD38" i="2"/>
  <c r="AZ36" i="2"/>
  <c r="BA36" i="2"/>
  <c r="BB36" i="2"/>
  <c r="BC36" i="2"/>
  <c r="BD36" i="2"/>
  <c r="AY36" i="2"/>
  <c r="AY35" i="2"/>
  <c r="BD34" i="2"/>
  <c r="BD35" i="2" s="1"/>
  <c r="BC34" i="2"/>
  <c r="BC35" i="2" s="1"/>
  <c r="BB34" i="2"/>
  <c r="BB35" i="2" s="1"/>
  <c r="BA34" i="2"/>
  <c r="BA35" i="2" s="1"/>
  <c r="AZ34" i="2"/>
  <c r="AZ35" i="2" s="1"/>
  <c r="AV36" i="2"/>
  <c r="AU36" i="2"/>
  <c r="AT36" i="2"/>
  <c r="AS36" i="2"/>
  <c r="AV35" i="2"/>
  <c r="AU35" i="2"/>
  <c r="AT35" i="2"/>
  <c r="AS35" i="2"/>
  <c r="AS37" i="2" s="1"/>
  <c r="AR35" i="2"/>
  <c r="AR37" i="2" s="1"/>
  <c r="AQ35" i="2"/>
  <c r="AQ37" i="2" s="1"/>
  <c r="AQ34" i="2"/>
  <c r="AV33" i="2"/>
  <c r="AV34" i="2" s="1"/>
  <c r="AU33" i="2"/>
  <c r="AU34" i="2" s="1"/>
  <c r="AT33" i="2"/>
  <c r="AT34" i="2" s="1"/>
  <c r="AS33" i="2"/>
  <c r="AS34" i="2" s="1"/>
  <c r="AR33" i="2"/>
  <c r="AR34" i="2" s="1"/>
  <c r="AV32" i="2"/>
  <c r="AU32" i="2"/>
  <c r="AT32" i="2"/>
  <c r="AS32" i="2"/>
  <c r="AR32" i="2"/>
  <c r="AQ32" i="2"/>
  <c r="AN47" i="2"/>
  <c r="BL35" i="2" s="1"/>
  <c r="AM47" i="2"/>
  <c r="AL47" i="2"/>
  <c r="BJ35" i="2" s="1"/>
  <c r="AK47" i="2"/>
  <c r="BI35" i="2" s="1"/>
  <c r="AJ47" i="2"/>
  <c r="BH35" i="2" s="1"/>
  <c r="D50" i="2"/>
  <c r="R12" i="5" s="1"/>
  <c r="E50" i="2"/>
  <c r="S12" i="5" s="1"/>
  <c r="F50" i="2"/>
  <c r="T12" i="5" s="1"/>
  <c r="G50" i="2"/>
  <c r="U12" i="5" s="1"/>
  <c r="H50" i="2"/>
  <c r="V12" i="5" s="1"/>
  <c r="V15" i="5" s="1"/>
  <c r="V16" i="5" s="1"/>
  <c r="C50" i="2"/>
  <c r="Q12" i="5" s="1"/>
  <c r="Q15" i="5" s="1"/>
  <c r="Q16" i="5" s="1"/>
  <c r="D49" i="2"/>
  <c r="R20" i="5" s="1"/>
  <c r="E49" i="2"/>
  <c r="S20" i="5" s="1"/>
  <c r="F49" i="2"/>
  <c r="T20" i="5" s="1"/>
  <c r="G49" i="2"/>
  <c r="U20" i="5" s="1"/>
  <c r="H49" i="2"/>
  <c r="V20" i="5" s="1"/>
  <c r="W19" i="5" s="1"/>
  <c r="W21" i="5" s="1"/>
  <c r="C49" i="2"/>
  <c r="Q20" i="5" s="1"/>
  <c r="AI42" i="2"/>
  <c r="AY42" i="2" s="1"/>
  <c r="AJ42" i="2"/>
  <c r="AZ42" i="2" s="1"/>
  <c r="AK42" i="2"/>
  <c r="BA42" i="2" s="1"/>
  <c r="BB42" i="2"/>
  <c r="AM42" i="2"/>
  <c r="BC42" i="2" s="1"/>
  <c r="AN42" i="2"/>
  <c r="BD42" i="2" s="1"/>
  <c r="AN34" i="2"/>
  <c r="AN35" i="2" s="1"/>
  <c r="AM34" i="2"/>
  <c r="AM35" i="2" s="1"/>
  <c r="AL34" i="2"/>
  <c r="AL35" i="2" s="1"/>
  <c r="AK34" i="2"/>
  <c r="AK35" i="2" s="1"/>
  <c r="AJ34" i="2"/>
  <c r="AJ35" i="2" s="1"/>
  <c r="K84" i="15" l="1"/>
  <c r="E130" i="15" s="1"/>
  <c r="D133" i="15"/>
  <c r="K13" i="15"/>
  <c r="D131" i="15"/>
  <c r="AC70" i="7"/>
  <c r="Z70" i="7"/>
  <c r="Y70" i="7"/>
  <c r="X70" i="7"/>
  <c r="AA70" i="7"/>
  <c r="AB70" i="7"/>
  <c r="D20" i="7"/>
  <c r="Y67" i="7" s="1"/>
  <c r="I58" i="4"/>
  <c r="AD88" i="6"/>
  <c r="AD65" i="7"/>
  <c r="AE65" i="7" s="1"/>
  <c r="J19" i="7"/>
  <c r="X67" i="7"/>
  <c r="V32" i="5"/>
  <c r="AI88" i="6"/>
  <c r="AE93" i="6"/>
  <c r="AG33" i="6"/>
  <c r="AD91" i="6"/>
  <c r="AF32" i="6"/>
  <c r="AF26" i="6"/>
  <c r="AI33" i="6"/>
  <c r="AG93" i="6"/>
  <c r="AH32" i="6"/>
  <c r="AF91" i="6"/>
  <c r="AI91" i="6"/>
  <c r="AK32" i="6"/>
  <c r="AH91" i="6"/>
  <c r="AJ32" i="6"/>
  <c r="Z68" i="6"/>
  <c r="Y77" i="6"/>
  <c r="Y83" i="6" s="1"/>
  <c r="Y85" i="6" s="1"/>
  <c r="AG91" i="6"/>
  <c r="AI32" i="6"/>
  <c r="AJ26" i="6"/>
  <c r="AK26" i="6"/>
  <c r="AE91" i="6"/>
  <c r="AG32" i="6"/>
  <c r="BB85" i="6"/>
  <c r="BB103" i="6"/>
  <c r="BB105" i="6" s="1"/>
  <c r="AK87" i="6"/>
  <c r="AK89" i="6"/>
  <c r="I26" i="2"/>
  <c r="I19" i="2" s="1"/>
  <c r="T31" i="5"/>
  <c r="S10" i="5"/>
  <c r="Z16" i="6"/>
  <c r="AA44" i="6"/>
  <c r="AA47" i="6" s="1"/>
  <c r="I33" i="7"/>
  <c r="E65" i="7" s="1"/>
  <c r="X62" i="6"/>
  <c r="AR45" i="6"/>
  <c r="BS23" i="6"/>
  <c r="BS25" i="6" s="1"/>
  <c r="BS29" i="6" s="1"/>
  <c r="BR23" i="6"/>
  <c r="BR25" i="6" s="1"/>
  <c r="BR29" i="6" s="1"/>
  <c r="AZ75" i="6"/>
  <c r="AZ77" i="6" s="1"/>
  <c r="AN45" i="6"/>
  <c r="AY75" i="6"/>
  <c r="AY77" i="6" s="1"/>
  <c r="BG67" i="6" s="1"/>
  <c r="BG69" i="6" s="1"/>
  <c r="AY84" i="6" s="1"/>
  <c r="AY79" i="6" s="1"/>
  <c r="AY80" i="6" s="1"/>
  <c r="AY81" i="6" s="1"/>
  <c r="AW75" i="6"/>
  <c r="AW77" i="6" s="1"/>
  <c r="BE67" i="6" s="1"/>
  <c r="BE69" i="6" s="1"/>
  <c r="AW84" i="6" s="1"/>
  <c r="AW79" i="6" s="1"/>
  <c r="AW80" i="6" s="1"/>
  <c r="AW81" i="6" s="1"/>
  <c r="AX77" i="6"/>
  <c r="BF67" i="6" s="1"/>
  <c r="BF69" i="6" s="1"/>
  <c r="AX84" i="6" s="1"/>
  <c r="AX79" i="6" s="1"/>
  <c r="AX80" i="6" s="1"/>
  <c r="AX81" i="6" s="1"/>
  <c r="AP22" i="6"/>
  <c r="BI22" i="6"/>
  <c r="BI23" i="6" s="1"/>
  <c r="AO22" i="6"/>
  <c r="BH22" i="6"/>
  <c r="BH23" i="6" s="1"/>
  <c r="AR22" i="6"/>
  <c r="BK22" i="6"/>
  <c r="BK23" i="6" s="1"/>
  <c r="W44" i="6"/>
  <c r="W47" i="6" s="1"/>
  <c r="AQ22" i="6"/>
  <c r="BJ22" i="6"/>
  <c r="BJ23" i="6" s="1"/>
  <c r="AQ46" i="6"/>
  <c r="BT30" i="6" s="1"/>
  <c r="BT31" i="6" s="1"/>
  <c r="AQ45" i="6"/>
  <c r="AS22" i="6"/>
  <c r="BL22" i="6"/>
  <c r="BL23" i="6" s="1"/>
  <c r="AQ38" i="6"/>
  <c r="AP40" i="6"/>
  <c r="AP38" i="6"/>
  <c r="AN76" i="6"/>
  <c r="AN80" i="6" s="1"/>
  <c r="AN22" i="6"/>
  <c r="BG22" i="6"/>
  <c r="AR50" i="6"/>
  <c r="BS30" i="6"/>
  <c r="AQ50" i="6"/>
  <c r="AR80" i="6"/>
  <c r="AR106" i="6"/>
  <c r="AS68" i="6"/>
  <c r="AS76" i="6"/>
  <c r="AS75" i="6"/>
  <c r="AO80" i="6"/>
  <c r="AO106" i="6"/>
  <c r="AO126" i="6"/>
  <c r="AO71" i="6"/>
  <c r="AO75" i="6"/>
  <c r="AQ71" i="6"/>
  <c r="AQ76" i="6"/>
  <c r="AT80" i="6"/>
  <c r="AQ75" i="6"/>
  <c r="AP71" i="6"/>
  <c r="AP76" i="6"/>
  <c r="AT50" i="6"/>
  <c r="BQ30" i="6"/>
  <c r="AN46" i="6"/>
  <c r="BK47" i="6"/>
  <c r="AO41" i="6"/>
  <c r="AO46" i="6"/>
  <c r="BV30" i="6" s="1"/>
  <c r="BV31" i="6" s="1"/>
  <c r="AS41" i="6"/>
  <c r="AS46" i="6"/>
  <c r="BR30" i="6" s="1"/>
  <c r="BR31" i="6" s="1"/>
  <c r="AO45" i="6"/>
  <c r="AS45" i="6"/>
  <c r="I46" i="7"/>
  <c r="E66" i="7" s="1"/>
  <c r="R59" i="7"/>
  <c r="E70" i="7" s="1"/>
  <c r="R46" i="7"/>
  <c r="E69" i="7" s="1"/>
  <c r="R33" i="7"/>
  <c r="E68" i="7" s="1"/>
  <c r="I59" i="7"/>
  <c r="E67" i="7" s="1"/>
  <c r="I20" i="2"/>
  <c r="AA62" i="6"/>
  <c r="AA50" i="6"/>
  <c r="C15" i="7"/>
  <c r="C21" i="7" s="1"/>
  <c r="P6" i="6"/>
  <c r="P8" i="6" s="1"/>
  <c r="W23" i="6" s="1"/>
  <c r="W18" i="6" s="1"/>
  <c r="W19" i="6" s="1"/>
  <c r="W20" i="6" s="1"/>
  <c r="W71" i="6" s="1"/>
  <c r="W73" i="6" s="1"/>
  <c r="V78" i="6" s="1"/>
  <c r="T8" i="6"/>
  <c r="AA23" i="6" s="1"/>
  <c r="AA18" i="6" s="1"/>
  <c r="AA19" i="6" s="1"/>
  <c r="AA20" i="6" s="1"/>
  <c r="AA71" i="6" s="1"/>
  <c r="AA73" i="6" s="1"/>
  <c r="Z78" i="6" s="1"/>
  <c r="T15" i="5"/>
  <c r="T16" i="5" s="1"/>
  <c r="AU37" i="2"/>
  <c r="S15" i="5"/>
  <c r="S16" i="5" s="1"/>
  <c r="AV37" i="2"/>
  <c r="AV39" i="2" s="1"/>
  <c r="Y62" i="6"/>
  <c r="Y50" i="6"/>
  <c r="V50" i="6"/>
  <c r="V62" i="6"/>
  <c r="V68" i="6" s="1"/>
  <c r="R15" i="5"/>
  <c r="R16" i="5" s="1"/>
  <c r="Q10" i="5"/>
  <c r="I15" i="7"/>
  <c r="I21" i="7" s="1"/>
  <c r="Q6" i="6"/>
  <c r="Q8" i="6" s="1"/>
  <c r="X23" i="6" s="1"/>
  <c r="X18" i="6" s="1"/>
  <c r="X19" i="6" s="1"/>
  <c r="X20" i="6" s="1"/>
  <c r="X71" i="6" s="1"/>
  <c r="X73" i="6" s="1"/>
  <c r="W78" i="6" s="1"/>
  <c r="I13" i="2"/>
  <c r="I14" i="2" s="1"/>
  <c r="E15" i="7"/>
  <c r="E21" i="7" s="1"/>
  <c r="S6" i="6"/>
  <c r="S8" i="6" s="1"/>
  <c r="Z23" i="6" s="1"/>
  <c r="Z18" i="6" s="1"/>
  <c r="Z19" i="6" s="1"/>
  <c r="Z20" i="6" s="1"/>
  <c r="Z71" i="6" s="1"/>
  <c r="Z73" i="6" s="1"/>
  <c r="Y78" i="6" s="1"/>
  <c r="W62" i="6"/>
  <c r="W50" i="6"/>
  <c r="O6" i="6"/>
  <c r="O8" i="6" s="1"/>
  <c r="V23" i="6" s="1"/>
  <c r="V18" i="6" s="1"/>
  <c r="V19" i="6" s="1"/>
  <c r="V20" i="6" s="1"/>
  <c r="V71" i="6" s="1"/>
  <c r="V73" i="6" s="1"/>
  <c r="Q32" i="5"/>
  <c r="AT37" i="2"/>
  <c r="AT39" i="2" s="1"/>
  <c r="D15" i="7"/>
  <c r="D21" i="7" s="1"/>
  <c r="R6" i="6"/>
  <c r="R8" i="6" s="1"/>
  <c r="Y23" i="6" s="1"/>
  <c r="Y18" i="6" s="1"/>
  <c r="Y19" i="6" s="1"/>
  <c r="Y20" i="6" s="1"/>
  <c r="Y71" i="6" s="1"/>
  <c r="Y73" i="6" s="1"/>
  <c r="X78" i="6" s="1"/>
  <c r="I16" i="2"/>
  <c r="D41" i="2"/>
  <c r="BH36" i="2" s="1"/>
  <c r="T40" i="2"/>
  <c r="T43" i="2" s="1"/>
  <c r="V21" i="5"/>
  <c r="U21" i="5"/>
  <c r="T21" i="5"/>
  <c r="S21" i="5"/>
  <c r="R21" i="5"/>
  <c r="V10" i="5"/>
  <c r="U10" i="5"/>
  <c r="R31" i="5"/>
  <c r="U15" i="5"/>
  <c r="U16" i="5" s="1"/>
  <c r="AZ37" i="2"/>
  <c r="AY37" i="2"/>
  <c r="BG36" i="2"/>
  <c r="BD37" i="2"/>
  <c r="BL36" i="2"/>
  <c r="BA37" i="2"/>
  <c r="BI36" i="2"/>
  <c r="AM48" i="2"/>
  <c r="AM50" i="2" s="1"/>
  <c r="BC37" i="2"/>
  <c r="BK36" i="2"/>
  <c r="AL37" i="2"/>
  <c r="BB37" i="2"/>
  <c r="BJ36" i="2"/>
  <c r="AI37" i="2"/>
  <c r="AM37" i="2"/>
  <c r="AK37" i="2"/>
  <c r="X40" i="2"/>
  <c r="X43" i="2" s="1"/>
  <c r="AJ37" i="2"/>
  <c r="AN37" i="2"/>
  <c r="W40" i="2"/>
  <c r="W43" i="2" s="1"/>
  <c r="S40" i="2"/>
  <c r="S43" i="2" s="1"/>
  <c r="X37" i="2"/>
  <c r="T37" i="2"/>
  <c r="AL48" i="2"/>
  <c r="U37" i="2"/>
  <c r="V40" i="2"/>
  <c r="V43" i="2" s="1"/>
  <c r="W37" i="2"/>
  <c r="AI48" i="2"/>
  <c r="AK48" i="2"/>
  <c r="AK50" i="2" s="1"/>
  <c r="U40" i="2"/>
  <c r="U43" i="2" s="1"/>
  <c r="AN48" i="2"/>
  <c r="AJ48" i="2"/>
  <c r="C48" i="2"/>
  <c r="C51" i="2" s="1"/>
  <c r="G48" i="2"/>
  <c r="G51" i="2" s="1"/>
  <c r="F48" i="2"/>
  <c r="F51" i="2" s="1"/>
  <c r="E48" i="2"/>
  <c r="E51" i="2" s="1"/>
  <c r="H48" i="2"/>
  <c r="H51" i="2" s="1"/>
  <c r="D48" i="2"/>
  <c r="D51" i="2" s="1"/>
  <c r="BI38" i="2"/>
  <c r="BI40" i="2" s="1"/>
  <c r="AQ39" i="2"/>
  <c r="AR39" i="2"/>
  <c r="AS39" i="2"/>
  <c r="AU39" i="2"/>
  <c r="BK35" i="2"/>
  <c r="X10" i="5" l="1"/>
  <c r="C119" i="15" s="1"/>
  <c r="J117" i="15" s="1"/>
  <c r="X16" i="5"/>
  <c r="J101" i="15" s="1"/>
  <c r="C145" i="15" s="1"/>
  <c r="J20" i="7"/>
  <c r="J121" i="15"/>
  <c r="AE70" i="7"/>
  <c r="AE67" i="7"/>
  <c r="U31" i="5"/>
  <c r="AH86" i="6"/>
  <c r="Q31" i="5"/>
  <c r="AD86" i="6"/>
  <c r="T32" i="5"/>
  <c r="AG88" i="6"/>
  <c r="S31" i="5"/>
  <c r="AF86" i="6"/>
  <c r="V31" i="5"/>
  <c r="AI86" i="6"/>
  <c r="R32" i="5"/>
  <c r="AE88" i="6"/>
  <c r="AK88" i="6" s="1"/>
  <c r="U32" i="5"/>
  <c r="AH88" i="6"/>
  <c r="S32" i="5"/>
  <c r="AF88" i="6"/>
  <c r="AY85" i="6"/>
  <c r="AY103" i="6"/>
  <c r="AY105" i="6" s="1"/>
  <c r="Y68" i="6"/>
  <c r="X77" i="6"/>
  <c r="X83" i="6" s="1"/>
  <c r="X85" i="6" s="1"/>
  <c r="AI93" i="6"/>
  <c r="AK33" i="6"/>
  <c r="AK91" i="6"/>
  <c r="W68" i="6"/>
  <c r="V77" i="6"/>
  <c r="V83" i="6" s="1"/>
  <c r="V85" i="6" s="1"/>
  <c r="AA68" i="6"/>
  <c r="Z77" i="6"/>
  <c r="Z83" i="6" s="1"/>
  <c r="Z85" i="6" s="1"/>
  <c r="AX85" i="6"/>
  <c r="AX103" i="6"/>
  <c r="AX105" i="6" s="1"/>
  <c r="X68" i="6"/>
  <c r="W77" i="6"/>
  <c r="W83" i="6" s="1"/>
  <c r="W85" i="6" s="1"/>
  <c r="AH93" i="6"/>
  <c r="AJ33" i="6"/>
  <c r="AW85" i="6"/>
  <c r="AW103" i="6"/>
  <c r="AF93" i="6"/>
  <c r="AH33" i="6"/>
  <c r="AD93" i="6"/>
  <c r="AF33" i="6"/>
  <c r="BH38" i="2"/>
  <c r="BH40" i="2" s="1"/>
  <c r="BJ38" i="2"/>
  <c r="BJ40" i="2" s="1"/>
  <c r="BL38" i="2"/>
  <c r="BL40" i="2" s="1"/>
  <c r="AI43" i="2"/>
  <c r="BA77" i="6"/>
  <c r="BS31" i="6"/>
  <c r="BH67" i="6"/>
  <c r="BH69" i="6" s="1"/>
  <c r="AZ84" i="6" s="1"/>
  <c r="AZ79" i="6" s="1"/>
  <c r="AZ80" i="6" s="1"/>
  <c r="AZ81" i="6" s="1"/>
  <c r="BJ47" i="6"/>
  <c r="AN106" i="6"/>
  <c r="AP41" i="6"/>
  <c r="AP46" i="6"/>
  <c r="AP45" i="6"/>
  <c r="AN126" i="6"/>
  <c r="AP80" i="6"/>
  <c r="AP126" i="6"/>
  <c r="AP106" i="6"/>
  <c r="AQ80" i="6"/>
  <c r="AQ106" i="6"/>
  <c r="AQ126" i="6"/>
  <c r="AS80" i="6"/>
  <c r="AN50" i="6"/>
  <c r="BW30" i="6"/>
  <c r="BW31" i="6" s="1"/>
  <c r="BG47" i="6"/>
  <c r="AS50" i="6"/>
  <c r="BL47" i="6"/>
  <c r="AO50" i="6"/>
  <c r="BH47" i="6"/>
  <c r="E71" i="7"/>
  <c r="AA24" i="6"/>
  <c r="AA51" i="6"/>
  <c r="AA52" i="6" s="1"/>
  <c r="Z57" i="6" s="1"/>
  <c r="Z79" i="6" s="1"/>
  <c r="W24" i="6"/>
  <c r="W51" i="6"/>
  <c r="W52" i="6" s="1"/>
  <c r="V57" i="6" s="1"/>
  <c r="V51" i="6"/>
  <c r="V24" i="6"/>
  <c r="Z51" i="6"/>
  <c r="Z52" i="6" s="1"/>
  <c r="Y57" i="6" s="1"/>
  <c r="Y79" i="6" s="1"/>
  <c r="Z24" i="6"/>
  <c r="X24" i="6"/>
  <c r="X51" i="6"/>
  <c r="X52" i="6" s="1"/>
  <c r="W57" i="6" s="1"/>
  <c r="W79" i="6" s="1"/>
  <c r="BK38" i="2"/>
  <c r="BK40" i="2" s="1"/>
  <c r="Y24" i="6"/>
  <c r="Y51" i="6"/>
  <c r="Y52" i="6" s="1"/>
  <c r="X57" i="6" s="1"/>
  <c r="X79" i="6" s="1"/>
  <c r="I22" i="2"/>
  <c r="I21" i="2"/>
  <c r="I17" i="2"/>
  <c r="AN50" i="2"/>
  <c r="AJ50" i="2"/>
  <c r="AL50" i="2"/>
  <c r="AI50" i="2"/>
  <c r="BG38" i="2"/>
  <c r="BG40" i="2" s="1"/>
  <c r="AA41" i="2"/>
  <c r="AI41" i="2" s="1"/>
  <c r="AY41" i="2" s="1"/>
  <c r="AB41" i="2"/>
  <c r="AJ41" i="2" s="1"/>
  <c r="AZ41" i="2" s="1"/>
  <c r="AC41" i="2"/>
  <c r="AK41" i="2" s="1"/>
  <c r="BA41" i="2" s="1"/>
  <c r="AD41" i="2"/>
  <c r="AL41" i="2" s="1"/>
  <c r="BB41" i="2" s="1"/>
  <c r="AE41" i="2"/>
  <c r="AM41" i="2" s="1"/>
  <c r="BC41" i="2" s="1"/>
  <c r="AN41" i="2"/>
  <c r="BD41" i="2" s="1"/>
  <c r="AA39" i="2"/>
  <c r="AI39" i="2" s="1"/>
  <c r="AB39" i="2"/>
  <c r="AJ39" i="2" s="1"/>
  <c r="AC39" i="2"/>
  <c r="AK39" i="2" s="1"/>
  <c r="AD39" i="2"/>
  <c r="AL39" i="2" s="1"/>
  <c r="AE39" i="2"/>
  <c r="AM39" i="2" s="1"/>
  <c r="AF39" i="2"/>
  <c r="AN39" i="2" s="1"/>
  <c r="AA40" i="2"/>
  <c r="AI40" i="2" s="1"/>
  <c r="AY40" i="2" s="1"/>
  <c r="AB40" i="2"/>
  <c r="AJ40" i="2" s="1"/>
  <c r="AZ40" i="2" s="1"/>
  <c r="AC40" i="2"/>
  <c r="AK40" i="2" s="1"/>
  <c r="BA40" i="2" s="1"/>
  <c r="AD40" i="2"/>
  <c r="AL40" i="2" s="1"/>
  <c r="BB40" i="2" s="1"/>
  <c r="AE40" i="2"/>
  <c r="AM40" i="2" s="1"/>
  <c r="BC40" i="2" s="1"/>
  <c r="AF40" i="2"/>
  <c r="AN40" i="2" s="1"/>
  <c r="BD40" i="2" s="1"/>
  <c r="AC37" i="2"/>
  <c r="AD37" i="2"/>
  <c r="AE37" i="2"/>
  <c r="AF37" i="2"/>
  <c r="AA36" i="2"/>
  <c r="AA38" i="2" s="1"/>
  <c r="AB36" i="2"/>
  <c r="AB38" i="2" s="1"/>
  <c r="AC36" i="2"/>
  <c r="AD36" i="2"/>
  <c r="AE36" i="2"/>
  <c r="AF36" i="2"/>
  <c r="AA35" i="2"/>
  <c r="AB34" i="2"/>
  <c r="AB35" i="2" s="1"/>
  <c r="AC34" i="2"/>
  <c r="AC35" i="2" s="1"/>
  <c r="AD34" i="2"/>
  <c r="AD35" i="2" s="1"/>
  <c r="AE34" i="2"/>
  <c r="AE35" i="2" s="1"/>
  <c r="AF34" i="2"/>
  <c r="AF35" i="2" s="1"/>
  <c r="AA33" i="2"/>
  <c r="AB33" i="2"/>
  <c r="AC33" i="2"/>
  <c r="AD33" i="2"/>
  <c r="AE33" i="2"/>
  <c r="AF33" i="2"/>
  <c r="S39" i="2"/>
  <c r="T36" i="2"/>
  <c r="T39" i="2" s="1"/>
  <c r="U36" i="2"/>
  <c r="U39" i="2" s="1"/>
  <c r="V36" i="2"/>
  <c r="V39" i="2" s="1"/>
  <c r="W36" i="2"/>
  <c r="W39" i="2" s="1"/>
  <c r="X36" i="2"/>
  <c r="X39" i="2" s="1"/>
  <c r="T35" i="2"/>
  <c r="U35" i="2"/>
  <c r="V35" i="2"/>
  <c r="W35" i="2"/>
  <c r="X35" i="2"/>
  <c r="S35" i="2"/>
  <c r="F34" i="2"/>
  <c r="G34" i="2"/>
  <c r="H34" i="2"/>
  <c r="E34" i="2"/>
  <c r="D34" i="2"/>
  <c r="AK86" i="6" l="1"/>
  <c r="J100" i="15"/>
  <c r="K118" i="15"/>
  <c r="J41" i="15"/>
  <c r="J42" i="15" s="1"/>
  <c r="AK93" i="6"/>
  <c r="AZ85" i="6"/>
  <c r="AZ103" i="6"/>
  <c r="AZ105" i="6" s="1"/>
  <c r="V79" i="6"/>
  <c r="AB57" i="6"/>
  <c r="BI67" i="6"/>
  <c r="BI69" i="6" s="1"/>
  <c r="BA84" i="6" s="1"/>
  <c r="BA79" i="6" s="1"/>
  <c r="BA80" i="6" s="1"/>
  <c r="BA81" i="6" s="1"/>
  <c r="AT107" i="6"/>
  <c r="BU30" i="6"/>
  <c r="BU31" i="6" s="1"/>
  <c r="AP50" i="6"/>
  <c r="BI47" i="6"/>
  <c r="AS126" i="6"/>
  <c r="I27" i="2"/>
  <c r="I23" i="2"/>
  <c r="W45" i="2"/>
  <c r="U45" i="2"/>
  <c r="X45" i="2"/>
  <c r="T45" i="2"/>
  <c r="AD38" i="2"/>
  <c r="AC38" i="2"/>
  <c r="AE38" i="2"/>
  <c r="AA43" i="2"/>
  <c r="AA45" i="2" s="1"/>
  <c r="V45" i="2"/>
  <c r="AF38" i="2"/>
  <c r="S45" i="2"/>
  <c r="AC43" i="2"/>
  <c r="AN43" i="2"/>
  <c r="AN45" i="2" s="1"/>
  <c r="AN51" i="2" s="1"/>
  <c r="BD39" i="2"/>
  <c r="AF43" i="2"/>
  <c r="AB43" i="2"/>
  <c r="AB45" i="2" s="1"/>
  <c r="AE43" i="2"/>
  <c r="AJ43" i="2"/>
  <c r="AJ45" i="2" s="1"/>
  <c r="AJ51" i="2" s="1"/>
  <c r="AZ39" i="2"/>
  <c r="AM43" i="2"/>
  <c r="AM45" i="2" s="1"/>
  <c r="AM51" i="2" s="1"/>
  <c r="BC39" i="2"/>
  <c r="AI45" i="2"/>
  <c r="AI51" i="2" s="1"/>
  <c r="AY39" i="2"/>
  <c r="AL43" i="2"/>
  <c r="AL45" i="2" s="1"/>
  <c r="AL51" i="2" s="1"/>
  <c r="BB39" i="2"/>
  <c r="AK43" i="2"/>
  <c r="AK45" i="2" s="1"/>
  <c r="AK51" i="2" s="1"/>
  <c r="BA39" i="2"/>
  <c r="AD43" i="2"/>
  <c r="AD45" i="2" s="1"/>
  <c r="P39" i="2"/>
  <c r="H55" i="2" s="1"/>
  <c r="P38" i="2"/>
  <c r="P37" i="2"/>
  <c r="P36" i="2"/>
  <c r="P34" i="2"/>
  <c r="O39" i="2"/>
  <c r="G55" i="2" s="1"/>
  <c r="N39" i="2"/>
  <c r="F55" i="2" s="1"/>
  <c r="M39" i="2"/>
  <c r="E55" i="2" s="1"/>
  <c r="L39" i="2"/>
  <c r="D55" i="2" s="1"/>
  <c r="K39" i="2"/>
  <c r="C55" i="2" s="1"/>
  <c r="O38" i="2"/>
  <c r="N38" i="2"/>
  <c r="M38" i="2"/>
  <c r="O37" i="2"/>
  <c r="N37" i="2"/>
  <c r="M37" i="2"/>
  <c r="L37" i="2"/>
  <c r="K37" i="2"/>
  <c r="O36" i="2"/>
  <c r="G52" i="2" s="1"/>
  <c r="U24" i="5" s="1"/>
  <c r="U25" i="5" s="1"/>
  <c r="AH90" i="6" s="1"/>
  <c r="N36" i="2"/>
  <c r="M36" i="2"/>
  <c r="E52" i="2" s="1"/>
  <c r="L36" i="2"/>
  <c r="D52" i="2" s="1"/>
  <c r="R24" i="5" s="1"/>
  <c r="R25" i="5" s="1"/>
  <c r="AE90" i="6" s="1"/>
  <c r="K36" i="2"/>
  <c r="C52" i="2" s="1"/>
  <c r="Q22" i="5" s="1"/>
  <c r="O34" i="2"/>
  <c r="N34" i="2"/>
  <c r="M34" i="2"/>
  <c r="L34" i="2"/>
  <c r="L35" i="2" s="1"/>
  <c r="K34" i="2"/>
  <c r="K35" i="2" s="1"/>
  <c r="L33" i="2"/>
  <c r="M33" i="2"/>
  <c r="N33" i="2"/>
  <c r="O33" i="2"/>
  <c r="P33" i="2"/>
  <c r="L32" i="2"/>
  <c r="AB7" i="5" s="1"/>
  <c r="M32" i="2"/>
  <c r="AC7" i="5" s="1"/>
  <c r="N32" i="2"/>
  <c r="AD7" i="5" s="1"/>
  <c r="O32" i="2"/>
  <c r="AE7" i="5" s="1"/>
  <c r="P32" i="2"/>
  <c r="K32" i="2"/>
  <c r="AA7" i="5" s="1"/>
  <c r="D43" i="2"/>
  <c r="C6" i="5" s="1"/>
  <c r="E43" i="2"/>
  <c r="D6" i="5" s="1"/>
  <c r="F43" i="2"/>
  <c r="E6" i="5" s="1"/>
  <c r="G43" i="2"/>
  <c r="F6" i="5" s="1"/>
  <c r="H43" i="2"/>
  <c r="G6" i="5" s="1"/>
  <c r="C43" i="2"/>
  <c r="B6" i="5" s="1"/>
  <c r="D36" i="2"/>
  <c r="D37" i="2" s="1"/>
  <c r="E36" i="2"/>
  <c r="E37" i="2" s="1"/>
  <c r="F36" i="2"/>
  <c r="F37" i="2" s="1"/>
  <c r="G36" i="2"/>
  <c r="G37" i="2" s="1"/>
  <c r="H36" i="2"/>
  <c r="H37" i="2" s="1"/>
  <c r="H18" i="2"/>
  <c r="G18" i="2"/>
  <c r="F18" i="2"/>
  <c r="E18" i="2"/>
  <c r="D18" i="2"/>
  <c r="C18" i="2"/>
  <c r="H26" i="2"/>
  <c r="H19" i="2" s="1"/>
  <c r="G26" i="2"/>
  <c r="G19" i="2" s="1"/>
  <c r="F26" i="2"/>
  <c r="F19" i="2" s="1"/>
  <c r="E26" i="2"/>
  <c r="E19" i="2" s="1"/>
  <c r="N6" i="2"/>
  <c r="O6" i="2"/>
  <c r="P6" i="2"/>
  <c r="Q6" i="2"/>
  <c r="M5" i="2"/>
  <c r="M6" i="2" s="1"/>
  <c r="D26" i="2" s="1"/>
  <c r="D19" i="2" s="1"/>
  <c r="L5" i="2"/>
  <c r="L6" i="2" s="1"/>
  <c r="H15" i="2"/>
  <c r="G15" i="2"/>
  <c r="F15" i="2"/>
  <c r="E15" i="2"/>
  <c r="D15" i="2"/>
  <c r="C15" i="2"/>
  <c r="J103" i="15" l="1"/>
  <c r="C147" i="15" s="1"/>
  <c r="C144" i="15"/>
  <c r="AF7" i="5"/>
  <c r="H48" i="15"/>
  <c r="H60" i="15" s="1"/>
  <c r="BA85" i="6"/>
  <c r="BA103" i="6"/>
  <c r="BA105" i="6" s="1"/>
  <c r="BC105" i="6" s="1"/>
  <c r="C26" i="2"/>
  <c r="C19" i="2" s="1"/>
  <c r="C20" i="2" s="1"/>
  <c r="R27" i="5"/>
  <c r="AE92" i="6" s="1"/>
  <c r="R33" i="5"/>
  <c r="S24" i="5"/>
  <c r="S25" i="5" s="1"/>
  <c r="Q24" i="5"/>
  <c r="U27" i="5"/>
  <c r="U33" i="5"/>
  <c r="AA17" i="5"/>
  <c r="AF17" i="5"/>
  <c r="AE17" i="5"/>
  <c r="AD17" i="5"/>
  <c r="AC17" i="5"/>
  <c r="AB17" i="5"/>
  <c r="AY43" i="2"/>
  <c r="BA43" i="2"/>
  <c r="AZ43" i="2"/>
  <c r="BD43" i="2"/>
  <c r="BB43" i="2"/>
  <c r="BC43" i="2"/>
  <c r="AE45" i="2"/>
  <c r="G12" i="5"/>
  <c r="C12" i="5"/>
  <c r="F12" i="5"/>
  <c r="E12" i="5"/>
  <c r="B12" i="5"/>
  <c r="D12" i="5"/>
  <c r="D57" i="2"/>
  <c r="AC45" i="2"/>
  <c r="E57" i="2"/>
  <c r="N35" i="2"/>
  <c r="AF45" i="2"/>
  <c r="O35" i="2"/>
  <c r="N41" i="2"/>
  <c r="E7" i="5" s="1"/>
  <c r="E14" i="5" s="1"/>
  <c r="F52" i="2"/>
  <c r="P41" i="2"/>
  <c r="G7" i="5" s="1"/>
  <c r="G14" i="5" s="1"/>
  <c r="H52" i="2"/>
  <c r="G57" i="2"/>
  <c r="O41" i="2"/>
  <c r="F7" i="5" s="1"/>
  <c r="F14" i="5" s="1"/>
  <c r="M35" i="2"/>
  <c r="L41" i="2"/>
  <c r="K41" i="2"/>
  <c r="P35" i="2"/>
  <c r="G20" i="2"/>
  <c r="M41" i="2"/>
  <c r="D7" i="5" s="1"/>
  <c r="D14" i="5" s="1"/>
  <c r="F20" i="2"/>
  <c r="E20" i="2"/>
  <c r="H20" i="2"/>
  <c r="D20" i="2"/>
  <c r="S33" i="5" l="1"/>
  <c r="AF90" i="6"/>
  <c r="U34" i="5"/>
  <c r="AH92" i="6"/>
  <c r="Q25" i="5"/>
  <c r="R34" i="5"/>
  <c r="S27" i="5"/>
  <c r="H57" i="2"/>
  <c r="V24" i="5"/>
  <c r="V25" i="5" s="1"/>
  <c r="AI90" i="6" s="1"/>
  <c r="F57" i="2"/>
  <c r="T24" i="5"/>
  <c r="T25" i="5" s="1"/>
  <c r="AG90" i="6" s="1"/>
  <c r="BC45" i="2"/>
  <c r="G32" i="4" s="1"/>
  <c r="G33" i="4" s="1"/>
  <c r="F60" i="4" s="1"/>
  <c r="BC48" i="2"/>
  <c r="BB45" i="2"/>
  <c r="F32" i="4" s="1"/>
  <c r="F33" i="4" s="1"/>
  <c r="E60" i="4" s="1"/>
  <c r="BB48" i="2"/>
  <c r="BD45" i="2"/>
  <c r="H32" i="4" s="1"/>
  <c r="H33" i="4" s="1"/>
  <c r="G60" i="4" s="1"/>
  <c r="BD48" i="2"/>
  <c r="AZ45" i="2"/>
  <c r="D32" i="4" s="1"/>
  <c r="D33" i="4" s="1"/>
  <c r="C60" i="4" s="1"/>
  <c r="AZ48" i="2"/>
  <c r="AZ51" i="2" s="1"/>
  <c r="BA45" i="2"/>
  <c r="E32" i="4" s="1"/>
  <c r="E33" i="4" s="1"/>
  <c r="D60" i="4" s="1"/>
  <c r="BA48" i="2"/>
  <c r="AY45" i="2"/>
  <c r="C32" i="4" s="1"/>
  <c r="C33" i="4" s="1"/>
  <c r="AY48" i="2"/>
  <c r="AY51" i="2" s="1"/>
  <c r="L42" i="2"/>
  <c r="C7" i="5"/>
  <c r="D8" i="5"/>
  <c r="E8" i="5"/>
  <c r="G8" i="5"/>
  <c r="G19" i="5" s="1"/>
  <c r="F8" i="5"/>
  <c r="K42" i="2"/>
  <c r="B7" i="5"/>
  <c r="D15" i="5"/>
  <c r="E15" i="5"/>
  <c r="F15" i="5"/>
  <c r="G15" i="5"/>
  <c r="G20" i="5" s="1"/>
  <c r="O42" i="2"/>
  <c r="N42" i="2"/>
  <c r="P42" i="2"/>
  <c r="M42" i="2"/>
  <c r="H12" i="2"/>
  <c r="G12" i="2"/>
  <c r="F12" i="2"/>
  <c r="E12" i="2"/>
  <c r="D12" i="2"/>
  <c r="C12" i="2"/>
  <c r="D9" i="2"/>
  <c r="E9" i="2"/>
  <c r="F9" i="2"/>
  <c r="G9" i="2"/>
  <c r="H9" i="2"/>
  <c r="Q27" i="5" l="1"/>
  <c r="AD90" i="6"/>
  <c r="G47" i="4"/>
  <c r="G53" i="4"/>
  <c r="G54" i="4" s="1"/>
  <c r="S34" i="5"/>
  <c r="AF92" i="6"/>
  <c r="Q33" i="5"/>
  <c r="C13" i="2"/>
  <c r="D13" i="2"/>
  <c r="D16" i="2" s="1"/>
  <c r="AA67" i="6"/>
  <c r="H26" i="4"/>
  <c r="G37" i="4" s="1"/>
  <c r="M34" i="6"/>
  <c r="M43" i="6" s="1"/>
  <c r="E19" i="5"/>
  <c r="K33" i="6"/>
  <c r="K38" i="6" s="1"/>
  <c r="D19" i="5"/>
  <c r="J33" i="6"/>
  <c r="J38" i="6" s="1"/>
  <c r="F19" i="5"/>
  <c r="L33" i="6"/>
  <c r="L38" i="6" s="1"/>
  <c r="F20" i="5"/>
  <c r="L34" i="6"/>
  <c r="L43" i="6" s="1"/>
  <c r="M33" i="6"/>
  <c r="M38" i="6" s="1"/>
  <c r="T27" i="5"/>
  <c r="AG92" i="6" s="1"/>
  <c r="T33" i="5"/>
  <c r="E20" i="5"/>
  <c r="K34" i="6"/>
  <c r="K43" i="6" s="1"/>
  <c r="V27" i="5"/>
  <c r="V33" i="5"/>
  <c r="D20" i="5"/>
  <c r="J34" i="6"/>
  <c r="J43" i="6" s="1"/>
  <c r="M44" i="2"/>
  <c r="AC8" i="5" s="1"/>
  <c r="AC12" i="5"/>
  <c r="AC16" i="5" s="1"/>
  <c r="AC18" i="5" s="1"/>
  <c r="T127" i="6" s="1"/>
  <c r="P44" i="2"/>
  <c r="AF8" i="5" s="1"/>
  <c r="AF12" i="5"/>
  <c r="N44" i="2"/>
  <c r="AD8" i="5" s="1"/>
  <c r="AD12" i="5"/>
  <c r="AD16" i="5" s="1"/>
  <c r="AD18" i="5" s="1"/>
  <c r="U127" i="6" s="1"/>
  <c r="O44" i="2"/>
  <c r="AE8" i="5" s="1"/>
  <c r="AE12" i="5"/>
  <c r="K44" i="2"/>
  <c r="AA8" i="5" s="1"/>
  <c r="AA9" i="5" s="1"/>
  <c r="R123" i="6" s="1"/>
  <c r="AA12" i="5"/>
  <c r="L44" i="2"/>
  <c r="AB8" i="5" s="1"/>
  <c r="AB12" i="5"/>
  <c r="G13" i="2"/>
  <c r="G14" i="2" s="1"/>
  <c r="B14" i="5"/>
  <c r="B15" i="5" s="1"/>
  <c r="B8" i="5"/>
  <c r="C14" i="5"/>
  <c r="C15" i="5" s="1"/>
  <c r="C8" i="5"/>
  <c r="H13" i="2"/>
  <c r="E13" i="2"/>
  <c r="F13" i="2"/>
  <c r="C11" i="15" l="1"/>
  <c r="V5" i="15" s="1"/>
  <c r="AA16" i="5"/>
  <c r="AA18" i="5" s="1"/>
  <c r="R127" i="6" s="1"/>
  <c r="D47" i="4"/>
  <c r="D53" i="4"/>
  <c r="D54" i="4" s="1"/>
  <c r="F47" i="4"/>
  <c r="F53" i="4"/>
  <c r="F54" i="4" s="1"/>
  <c r="V34" i="5"/>
  <c r="AI92" i="6"/>
  <c r="C47" i="4"/>
  <c r="C53" i="4"/>
  <c r="C54" i="4" s="1"/>
  <c r="E47" i="4"/>
  <c r="E53" i="4"/>
  <c r="E54" i="4" s="1"/>
  <c r="Q34" i="5"/>
  <c r="AD92" i="6"/>
  <c r="V67" i="6"/>
  <c r="C26" i="4"/>
  <c r="W67" i="6"/>
  <c r="D26" i="4"/>
  <c r="C37" i="4" s="1"/>
  <c r="Z67" i="6"/>
  <c r="G26" i="4"/>
  <c r="F37" i="4" s="1"/>
  <c r="X67" i="6"/>
  <c r="E26" i="4"/>
  <c r="D37" i="4" s="1"/>
  <c r="Y67" i="6"/>
  <c r="F26" i="4"/>
  <c r="C19" i="5"/>
  <c r="I33" i="6"/>
  <c r="I38" i="6" s="1"/>
  <c r="B19" i="5"/>
  <c r="H33" i="6"/>
  <c r="H38" i="6" s="1"/>
  <c r="O38" i="6" s="1"/>
  <c r="B20" i="5"/>
  <c r="H34" i="6"/>
  <c r="H43" i="6" s="1"/>
  <c r="T34" i="5"/>
  <c r="C20" i="5"/>
  <c r="I34" i="6"/>
  <c r="I43" i="6" s="1"/>
  <c r="AB16" i="5"/>
  <c r="AB18" i="5" s="1"/>
  <c r="S127" i="6" s="1"/>
  <c r="AB13" i="5"/>
  <c r="AB14" i="5" s="1"/>
  <c r="S125" i="6" s="1"/>
  <c r="AB9" i="5"/>
  <c r="S123" i="6" s="1"/>
  <c r="AA13" i="5"/>
  <c r="AA14" i="5" s="1"/>
  <c r="R125" i="6" s="1"/>
  <c r="AE16" i="5"/>
  <c r="AE18" i="5" s="1"/>
  <c r="V127" i="6" s="1"/>
  <c r="AE13" i="5"/>
  <c r="AE14" i="5" s="1"/>
  <c r="V125" i="6" s="1"/>
  <c r="AE9" i="5"/>
  <c r="V123" i="6" s="1"/>
  <c r="AD13" i="5"/>
  <c r="AD14" i="5" s="1"/>
  <c r="U125" i="6" s="1"/>
  <c r="AD9" i="5"/>
  <c r="U123" i="6" s="1"/>
  <c r="AF16" i="5"/>
  <c r="AF18" i="5" s="1"/>
  <c r="AF13" i="5"/>
  <c r="AF14" i="5" s="1"/>
  <c r="AF9" i="5"/>
  <c r="W123" i="6" s="1"/>
  <c r="AC13" i="5"/>
  <c r="AC14" i="5" s="1"/>
  <c r="T125" i="6" s="1"/>
  <c r="AC9" i="5"/>
  <c r="T123" i="6" s="1"/>
  <c r="G16" i="2"/>
  <c r="F16" i="2"/>
  <c r="F14" i="2"/>
  <c r="E16" i="2"/>
  <c r="E14" i="2"/>
  <c r="D14" i="2"/>
  <c r="C16" i="2"/>
  <c r="C14" i="2"/>
  <c r="C12" i="15" s="1"/>
  <c r="H16" i="2"/>
  <c r="H14" i="2"/>
  <c r="D44" i="2"/>
  <c r="D18" i="4" s="1"/>
  <c r="E44" i="2"/>
  <c r="E18" i="4" s="1"/>
  <c r="F44" i="2"/>
  <c r="F18" i="4" s="1"/>
  <c r="G44" i="2"/>
  <c r="G18" i="4" s="1"/>
  <c r="H44" i="2"/>
  <c r="H18" i="4" s="1"/>
  <c r="W127" i="6" l="1"/>
  <c r="W125" i="6"/>
  <c r="C22" i="2"/>
  <c r="C14" i="15"/>
  <c r="V6" i="15" s="1"/>
  <c r="J26" i="4"/>
  <c r="E37" i="4"/>
  <c r="AF21" i="5"/>
  <c r="AF23" i="5" s="1"/>
  <c r="W129" i="6" s="1"/>
  <c r="H21" i="2"/>
  <c r="AA21" i="5"/>
  <c r="AA23" i="5" s="1"/>
  <c r="R129" i="6" s="1"/>
  <c r="C21" i="2"/>
  <c r="C19" i="15" s="1"/>
  <c r="AB21" i="5"/>
  <c r="AB23" i="5" s="1"/>
  <c r="S129" i="6" s="1"/>
  <c r="D21" i="2"/>
  <c r="AC21" i="5"/>
  <c r="AC23" i="5" s="1"/>
  <c r="T129" i="6" s="1"/>
  <c r="E21" i="2"/>
  <c r="AD21" i="5"/>
  <c r="AD23" i="5" s="1"/>
  <c r="U129" i="6" s="1"/>
  <c r="F21" i="2"/>
  <c r="G22" i="2"/>
  <c r="G23" i="2" s="1"/>
  <c r="AE21" i="5"/>
  <c r="AE23" i="5" s="1"/>
  <c r="G21" i="2"/>
  <c r="G17" i="2"/>
  <c r="H22" i="2"/>
  <c r="H23" i="2" s="1"/>
  <c r="H17" i="2"/>
  <c r="D22" i="2"/>
  <c r="D23" i="2" s="1"/>
  <c r="D17" i="2"/>
  <c r="F22" i="2"/>
  <c r="F23" i="2" s="1"/>
  <c r="F17" i="2"/>
  <c r="C23" i="2"/>
  <c r="C21" i="15" s="1"/>
  <c r="C17" i="2"/>
  <c r="C15" i="15" s="1"/>
  <c r="E22" i="2"/>
  <c r="E17" i="2"/>
  <c r="G27" i="2"/>
  <c r="C27" i="2" l="1"/>
  <c r="C25" i="15" s="1"/>
  <c r="V8" i="15" s="1"/>
  <c r="V129" i="6"/>
  <c r="Z129" i="6" s="1"/>
  <c r="AH23" i="5"/>
  <c r="G8" i="4"/>
  <c r="G9" i="4" s="1"/>
  <c r="E23" i="2"/>
  <c r="E8" i="4"/>
  <c r="E9" i="4" s="1"/>
  <c r="X73" i="7" s="1"/>
  <c r="G12" i="4"/>
  <c r="G14" i="4" s="1"/>
  <c r="G24" i="4" s="1"/>
  <c r="G17" i="4"/>
  <c r="G19" i="4" s="1"/>
  <c r="H25" i="4" s="1"/>
  <c r="E27" i="2"/>
  <c r="C8" i="4"/>
  <c r="C40" i="4" s="1"/>
  <c r="C42" i="4" s="1"/>
  <c r="J42" i="4" s="1"/>
  <c r="D27" i="2"/>
  <c r="D8" i="4"/>
  <c r="D9" i="4" s="1"/>
  <c r="F27" i="2"/>
  <c r="F8" i="4"/>
  <c r="F9" i="4" s="1"/>
  <c r="Y73" i="7" s="1"/>
  <c r="H8" i="4"/>
  <c r="H9" i="4" s="1"/>
  <c r="AA73" i="7" s="1"/>
  <c r="H27" i="2"/>
  <c r="V56" i="6" l="1"/>
  <c r="W73" i="7"/>
  <c r="Y129" i="6"/>
  <c r="Y56" i="6"/>
  <c r="Z73" i="7"/>
  <c r="D23" i="4"/>
  <c r="C36" i="4" s="1"/>
  <c r="C49" i="4" s="1"/>
  <c r="C79" i="4" s="1"/>
  <c r="C84" i="4" s="1"/>
  <c r="G23" i="4"/>
  <c r="F36" i="4" s="1"/>
  <c r="F49" i="4" s="1"/>
  <c r="F79" i="4" s="1"/>
  <c r="F84" i="4" s="1"/>
  <c r="E23" i="4"/>
  <c r="D36" i="4" s="1"/>
  <c r="D49" i="4" s="1"/>
  <c r="D79" i="4" s="1"/>
  <c r="D84" i="4" s="1"/>
  <c r="W56" i="6"/>
  <c r="H23" i="4"/>
  <c r="Z56" i="6"/>
  <c r="F23" i="4"/>
  <c r="E36" i="4" s="1"/>
  <c r="E49" i="4" s="1"/>
  <c r="E79" i="4" s="1"/>
  <c r="E84" i="4" s="1"/>
  <c r="X56" i="6"/>
  <c r="D12" i="4"/>
  <c r="D14" i="4" s="1"/>
  <c r="D17" i="4"/>
  <c r="D19" i="4" s="1"/>
  <c r="E25" i="4" s="1"/>
  <c r="H12" i="4"/>
  <c r="H14" i="4" s="1"/>
  <c r="H17" i="4"/>
  <c r="H19" i="4" s="1"/>
  <c r="I25" i="4" s="1"/>
  <c r="E12" i="4"/>
  <c r="E14" i="4" s="1"/>
  <c r="E24" i="4" s="1"/>
  <c r="E17" i="4"/>
  <c r="E19" i="4" s="1"/>
  <c r="F25" i="4" s="1"/>
  <c r="F12" i="4"/>
  <c r="F14" i="4" s="1"/>
  <c r="F24" i="4" s="1"/>
  <c r="F17" i="4"/>
  <c r="F19" i="4" s="1"/>
  <c r="G25" i="4" s="1"/>
  <c r="C12" i="4"/>
  <c r="C17" i="4"/>
  <c r="J14" i="4" l="1"/>
  <c r="G36" i="4"/>
  <c r="G49" i="4" s="1"/>
  <c r="G79" i="4" s="1"/>
  <c r="G84" i="4" s="1"/>
  <c r="H24" i="4"/>
  <c r="D24" i="4"/>
  <c r="C44" i="2"/>
  <c r="C18" i="4" s="1"/>
  <c r="C19" i="4" s="1"/>
  <c r="D25" i="4" l="1"/>
  <c r="K85" i="15" l="1"/>
  <c r="E131" i="15" s="1"/>
  <c r="K126" i="15"/>
  <c r="D10" i="17" s="1"/>
  <c r="L13" i="15" l="1"/>
  <c r="K87" i="15"/>
  <c r="E8" i="17"/>
  <c r="K92" i="15"/>
  <c r="L84" i="15" l="1"/>
  <c r="E133" i="15"/>
  <c r="L85" i="15"/>
  <c r="F131" i="15" s="1"/>
  <c r="F130" i="15"/>
  <c r="L87" i="15"/>
  <c r="F8" i="17"/>
  <c r="L92" i="15"/>
  <c r="M13" i="15" l="1"/>
  <c r="M84" i="15"/>
  <c r="G130" i="15" s="1"/>
  <c r="F133" i="15"/>
  <c r="M85" i="15" l="1"/>
  <c r="N13" i="15" l="1"/>
  <c r="G131" i="15"/>
  <c r="G8" i="17"/>
  <c r="M87" i="15"/>
  <c r="M92" i="15"/>
  <c r="N84" i="15" l="1"/>
  <c r="G133" i="15"/>
  <c r="J14" i="15"/>
  <c r="C6" i="17" s="1"/>
  <c r="J8" i="15"/>
  <c r="H130" i="15" l="1"/>
  <c r="N85" i="15"/>
  <c r="J16" i="15"/>
  <c r="J18" i="15" s="1"/>
  <c r="J20" i="15" s="1"/>
  <c r="C7" i="17" s="1"/>
  <c r="J15" i="15"/>
  <c r="N87" i="15" l="1"/>
  <c r="H133" i="15" s="1"/>
  <c r="H131" i="15"/>
  <c r="O13" i="15"/>
  <c r="H8" i="17"/>
  <c r="J21" i="15"/>
  <c r="J25" i="15" l="1"/>
  <c r="K36" i="15" l="1"/>
  <c r="K29" i="15"/>
  <c r="K31" i="15"/>
  <c r="K34" i="15"/>
  <c r="K39" i="15"/>
  <c r="K9" i="15"/>
  <c r="K30" i="15"/>
  <c r="K38" i="15"/>
  <c r="K10" i="15"/>
  <c r="K5" i="15"/>
  <c r="K47" i="15"/>
  <c r="K48" i="15" s="1"/>
  <c r="K53" i="15"/>
  <c r="K105" i="15" s="1"/>
  <c r="D149" i="15" s="1"/>
  <c r="K6" i="15" l="1"/>
  <c r="K7" i="15" s="1"/>
  <c r="K107" i="15"/>
  <c r="D151" i="15" s="1"/>
  <c r="K55" i="15"/>
  <c r="K101" i="15"/>
  <c r="D145" i="15" s="1"/>
  <c r="M53" i="15"/>
  <c r="M105" i="15" s="1"/>
  <c r="F149" i="15" s="1"/>
  <c r="M47" i="15"/>
  <c r="M29" i="15"/>
  <c r="M34" i="15"/>
  <c r="M38" i="15"/>
  <c r="M36" i="15"/>
  <c r="M39" i="15"/>
  <c r="M10" i="15"/>
  <c r="M5" i="15"/>
  <c r="K32" i="15"/>
  <c r="L47" i="15"/>
  <c r="L38" i="15"/>
  <c r="L31" i="15"/>
  <c r="L34" i="15"/>
  <c r="L5" i="15"/>
  <c r="L37" i="15" s="1"/>
  <c r="L9" i="15"/>
  <c r="L30" i="15"/>
  <c r="L29" i="15"/>
  <c r="L36" i="15"/>
  <c r="L101" i="15"/>
  <c r="E145" i="15" s="1"/>
  <c r="L10" i="15"/>
  <c r="L39" i="15"/>
  <c r="M31" i="15"/>
  <c r="K116" i="15"/>
  <c r="K117" i="15" s="1"/>
  <c r="M30" i="15"/>
  <c r="L53" i="15"/>
  <c r="L105" i="15" s="1"/>
  <c r="E149" i="15" s="1"/>
  <c r="K56" i="15"/>
  <c r="K106" i="15" s="1"/>
  <c r="D150" i="15" s="1"/>
  <c r="K37" i="15"/>
  <c r="K102" i="15"/>
  <c r="D146" i="15" s="1"/>
  <c r="L6" i="15" l="1"/>
  <c r="L107" i="15"/>
  <c r="E151" i="15" s="1"/>
  <c r="L55" i="15"/>
  <c r="M101" i="15"/>
  <c r="F145" i="15" s="1"/>
  <c r="M55" i="15"/>
  <c r="M107" i="15"/>
  <c r="F151" i="15" s="1"/>
  <c r="K100" i="15"/>
  <c r="L118" i="15"/>
  <c r="K121" i="15"/>
  <c r="L48" i="15"/>
  <c r="M48" i="15"/>
  <c r="M9" i="15"/>
  <c r="L116" i="15"/>
  <c r="L117" i="15" s="1"/>
  <c r="K11" i="15"/>
  <c r="K8" i="15"/>
  <c r="N38" i="15"/>
  <c r="N31" i="15"/>
  <c r="N47" i="15"/>
  <c r="N36" i="15"/>
  <c r="N39" i="15"/>
  <c r="N30" i="15"/>
  <c r="N34" i="15"/>
  <c r="N53" i="15"/>
  <c r="N105" i="15" s="1"/>
  <c r="G149" i="15" s="1"/>
  <c r="N29" i="15"/>
  <c r="N5" i="15"/>
  <c r="N102" i="15" s="1"/>
  <c r="G146" i="15" s="1"/>
  <c r="K41" i="15"/>
  <c r="L41" i="15"/>
  <c r="L102" i="15"/>
  <c r="E146" i="15" s="1"/>
  <c r="M56" i="15"/>
  <c r="M106" i="15" s="1"/>
  <c r="F150" i="15" s="1"/>
  <c r="M37" i="15"/>
  <c r="L32" i="15"/>
  <c r="L7" i="15"/>
  <c r="L56" i="15"/>
  <c r="L106" i="15" s="1"/>
  <c r="E150" i="15" s="1"/>
  <c r="M102" i="15"/>
  <c r="F146" i="15" s="1"/>
  <c r="M6" i="15"/>
  <c r="K35" i="15"/>
  <c r="J91" i="15" s="1"/>
  <c r="K110" i="15"/>
  <c r="D154" i="15" s="1"/>
  <c r="M32" i="15"/>
  <c r="K103" i="15" l="1"/>
  <c r="D147" i="15" s="1"/>
  <c r="D144" i="15"/>
  <c r="N55" i="15"/>
  <c r="N107" i="15"/>
  <c r="G151" i="15" s="1"/>
  <c r="N6" i="15"/>
  <c r="N116" i="15" s="1"/>
  <c r="N117" i="15" s="1"/>
  <c r="L100" i="15"/>
  <c r="E144" i="15" s="1"/>
  <c r="L121" i="15"/>
  <c r="M118" i="15"/>
  <c r="N48" i="15"/>
  <c r="M116" i="15"/>
  <c r="M117" i="15" s="1"/>
  <c r="M7" i="15"/>
  <c r="N32" i="15"/>
  <c r="M41" i="15"/>
  <c r="L110" i="15"/>
  <c r="E154" i="15" s="1"/>
  <c r="L35" i="15"/>
  <c r="N7" i="15"/>
  <c r="O53" i="15"/>
  <c r="O105" i="15" s="1"/>
  <c r="H149" i="15" s="1"/>
  <c r="K12" i="15"/>
  <c r="K14" i="15"/>
  <c r="M110" i="15"/>
  <c r="F154" i="15" s="1"/>
  <c r="M35" i="15"/>
  <c r="L11" i="15"/>
  <c r="L8" i="15"/>
  <c r="K42" i="15"/>
  <c r="N101" i="15"/>
  <c r="G145" i="15" s="1"/>
  <c r="N56" i="15"/>
  <c r="N106" i="15" s="1"/>
  <c r="G150" i="15" s="1"/>
  <c r="N37" i="15"/>
  <c r="L103" i="15" l="1"/>
  <c r="E147" i="15" s="1"/>
  <c r="O56" i="15"/>
  <c r="O106" i="15" s="1"/>
  <c r="H150" i="15" s="1"/>
  <c r="O101" i="15"/>
  <c r="H145" i="15" s="1"/>
  <c r="O102" i="15"/>
  <c r="H146" i="15" s="1"/>
  <c r="H19" i="16"/>
  <c r="O55" i="15"/>
  <c r="O6" i="15"/>
  <c r="O107" i="15"/>
  <c r="H151" i="15" s="1"/>
  <c r="N100" i="15"/>
  <c r="O118" i="15"/>
  <c r="M100" i="15"/>
  <c r="M121" i="15"/>
  <c r="N118" i="15"/>
  <c r="N121" i="15" s="1"/>
  <c r="O7" i="15"/>
  <c r="O11" i="15" s="1"/>
  <c r="N8" i="15"/>
  <c r="N11" i="15"/>
  <c r="L14" i="15"/>
  <c r="L12" i="15"/>
  <c r="K16" i="15"/>
  <c r="K18" i="15" s="1"/>
  <c r="K20" i="15" s="1"/>
  <c r="K15" i="15"/>
  <c r="D6" i="17"/>
  <c r="N41" i="15"/>
  <c r="O116" i="15"/>
  <c r="O117" i="15" s="1"/>
  <c r="O100" i="15" s="1"/>
  <c r="H144" i="15" s="1"/>
  <c r="L42" i="15"/>
  <c r="K91" i="15"/>
  <c r="M42" i="15"/>
  <c r="L91" i="15"/>
  <c r="N110" i="15"/>
  <c r="N35" i="15"/>
  <c r="M8" i="15"/>
  <c r="M11" i="15"/>
  <c r="O110" i="15" l="1"/>
  <c r="H154" i="15" s="1"/>
  <c r="G154" i="15"/>
  <c r="M103" i="15"/>
  <c r="F147" i="15" s="1"/>
  <c r="F144" i="15"/>
  <c r="N103" i="15"/>
  <c r="G147" i="15" s="1"/>
  <c r="G144" i="15"/>
  <c r="C19" i="16"/>
  <c r="N18" i="16" s="1"/>
  <c r="N20" i="16" s="1"/>
  <c r="H5" i="16"/>
  <c r="H40" i="16"/>
  <c r="H42" i="16" s="1"/>
  <c r="S18" i="16"/>
  <c r="S20" i="16" s="1"/>
  <c r="O121" i="15"/>
  <c r="O8" i="15"/>
  <c r="K21" i="15"/>
  <c r="K25" i="15" s="1"/>
  <c r="D7" i="17"/>
  <c r="M91" i="15"/>
  <c r="N42" i="15"/>
  <c r="L15" i="15"/>
  <c r="E6" i="17"/>
  <c r="L16" i="15"/>
  <c r="L18" i="15" s="1"/>
  <c r="L20" i="15" s="1"/>
  <c r="O12" i="15"/>
  <c r="O14" i="15"/>
  <c r="M14" i="15"/>
  <c r="M12" i="15"/>
  <c r="O103" i="15"/>
  <c r="H147" i="15" s="1"/>
  <c r="N14" i="15"/>
  <c r="N12" i="15"/>
  <c r="C40" i="16" l="1"/>
  <c r="C42" i="16" s="1"/>
  <c r="C21" i="16"/>
  <c r="C29" i="16"/>
  <c r="C31" i="16" s="1"/>
  <c r="K5" i="16"/>
  <c r="C51" i="16"/>
  <c r="E7" i="17"/>
  <c r="L21" i="15"/>
  <c r="L25" i="15" s="1"/>
  <c r="N16" i="15"/>
  <c r="N18" i="15" s="1"/>
  <c r="N20" i="15" s="1"/>
  <c r="N15" i="15"/>
  <c r="G6" i="17"/>
  <c r="M16" i="15"/>
  <c r="M18" i="15" s="1"/>
  <c r="M20" i="15" s="1"/>
  <c r="M15" i="15"/>
  <c r="F6" i="17"/>
  <c r="O16" i="15"/>
  <c r="O18" i="15" s="1"/>
  <c r="O20" i="15" s="1"/>
  <c r="O15" i="15"/>
  <c r="H6" i="17"/>
  <c r="N29" i="16" l="1"/>
  <c r="N31" i="16" s="1"/>
  <c r="C53" i="16"/>
  <c r="N21" i="15"/>
  <c r="N25" i="15" s="1"/>
  <c r="G7" i="17"/>
  <c r="M21" i="15"/>
  <c r="M25" i="15" s="1"/>
  <c r="F7" i="17"/>
  <c r="O21" i="15"/>
  <c r="H7" i="17"/>
  <c r="O25" i="15"/>
  <c r="J72" i="15" l="1"/>
  <c r="I72" i="15"/>
  <c r="AO39" i="2"/>
  <c r="AO43" i="2"/>
  <c r="AO45" i="2" s="1"/>
  <c r="I7" i="4" s="1"/>
  <c r="I57" i="15"/>
  <c r="H14" i="5" s="1"/>
  <c r="H15" i="5" s="1"/>
  <c r="H20" i="5" s="1"/>
  <c r="N43" i="6" s="1"/>
  <c r="O43" i="6" s="1"/>
  <c r="I52" i="2"/>
  <c r="I104" i="15" s="1"/>
  <c r="I108" i="15" s="1"/>
  <c r="I109" i="15" s="1"/>
  <c r="W22" i="5"/>
  <c r="W24" i="5" s="1"/>
  <c r="W25" i="5" s="1"/>
  <c r="I58" i="15" l="1"/>
  <c r="W27" i="5"/>
  <c r="AJ90" i="6"/>
  <c r="AK90" i="6" s="1"/>
  <c r="X25" i="5"/>
  <c r="I32" i="4"/>
  <c r="I33" i="4" s="1"/>
  <c r="I9" i="4"/>
  <c r="AB73" i="7" s="1"/>
  <c r="I112" i="15"/>
  <c r="I125" i="15"/>
  <c r="I56" i="2"/>
  <c r="I57" i="2" s="1"/>
  <c r="W33" i="5"/>
  <c r="L7" i="20"/>
  <c r="X27" i="5"/>
  <c r="G7" i="20"/>
  <c r="K7" i="20"/>
  <c r="I7" i="20"/>
  <c r="J7" i="20"/>
  <c r="H7" i="20"/>
  <c r="E7" i="20"/>
  <c r="D7" i="20"/>
  <c r="F7" i="20"/>
  <c r="C7" i="20"/>
  <c r="AG12" i="5"/>
  <c r="B7" i="20"/>
  <c r="C28" i="17" l="1"/>
  <c r="B27" i="11"/>
  <c r="B28" i="11" s="1"/>
  <c r="C4" i="13" s="1"/>
  <c r="C9" i="13" s="1"/>
  <c r="C20" i="13" s="1"/>
  <c r="I60" i="15"/>
  <c r="AA56" i="6"/>
  <c r="AB56" i="6" s="1"/>
  <c r="I23" i="4"/>
  <c r="H36" i="4" s="1"/>
  <c r="H49" i="4" s="1"/>
  <c r="H79" i="4" s="1"/>
  <c r="H84" i="4" s="1"/>
  <c r="J9" i="4"/>
  <c r="J52" i="15"/>
  <c r="J104" i="15"/>
  <c r="C148" i="15" s="1"/>
  <c r="H53" i="4"/>
  <c r="H54" i="4" s="1"/>
  <c r="H60" i="4"/>
  <c r="J33" i="4"/>
  <c r="H47" i="4"/>
  <c r="W34" i="5"/>
  <c r="AJ92" i="6"/>
  <c r="B9" i="20"/>
  <c r="B10" i="20" s="1"/>
  <c r="B18" i="20"/>
  <c r="B19" i="20"/>
  <c r="O104" i="15"/>
  <c r="K52" i="15"/>
  <c r="N104" i="15"/>
  <c r="K104" i="15"/>
  <c r="N52" i="15"/>
  <c r="M104" i="15"/>
  <c r="L52" i="15"/>
  <c r="L104" i="15"/>
  <c r="M52" i="15"/>
  <c r="P6" i="20"/>
  <c r="AC73" i="7"/>
  <c r="AG16" i="5"/>
  <c r="AG18" i="5" s="1"/>
  <c r="AG8" i="5" l="1"/>
  <c r="I18" i="4"/>
  <c r="I19" i="4" s="1"/>
  <c r="J19" i="4" s="1"/>
  <c r="C13" i="13"/>
  <c r="C23" i="13" s="1"/>
  <c r="C14" i="13"/>
  <c r="C21" i="13" s="1"/>
  <c r="C25" i="13" s="1"/>
  <c r="C12" i="13"/>
  <c r="C11" i="13" s="1"/>
  <c r="E85" i="4" s="1"/>
  <c r="C23" i="16"/>
  <c r="C43" i="17"/>
  <c r="I26" i="4"/>
  <c r="H37" i="4" s="1"/>
  <c r="J36" i="4"/>
  <c r="I60" i="4"/>
  <c r="J108" i="15"/>
  <c r="M108" i="15"/>
  <c r="F148" i="15"/>
  <c r="K108" i="15"/>
  <c r="D148" i="15"/>
  <c r="AJ95" i="6"/>
  <c r="AJ96" i="6" s="1"/>
  <c r="AK92" i="6"/>
  <c r="O108" i="15"/>
  <c r="H148" i="15"/>
  <c r="N108" i="15"/>
  <c r="G148" i="15"/>
  <c r="L108" i="15"/>
  <c r="E148" i="15"/>
  <c r="AH18" i="5"/>
  <c r="X127" i="6"/>
  <c r="B3" i="20"/>
  <c r="B5" i="20" s="1"/>
  <c r="C12" i="17" l="1"/>
  <c r="C34" i="17" s="1"/>
  <c r="C44" i="16"/>
  <c r="C55" i="16" s="1"/>
  <c r="N33" i="16" s="1"/>
  <c r="C33" i="16"/>
  <c r="H23" i="16" s="1"/>
  <c r="D85" i="4"/>
  <c r="C85" i="4"/>
  <c r="H85" i="4"/>
  <c r="AG13" i="5"/>
  <c r="AG14" i="5" s="1"/>
  <c r="AG9" i="5"/>
  <c r="G85" i="4"/>
  <c r="F85" i="4"/>
  <c r="AB74" i="7"/>
  <c r="AB84" i="7" s="1"/>
  <c r="AA74" i="7"/>
  <c r="AA84" i="7" s="1"/>
  <c r="O109" i="15"/>
  <c r="H152" i="15"/>
  <c r="Z127" i="6"/>
  <c r="Y127" i="6"/>
  <c r="F21" i="17"/>
  <c r="Z74" i="7"/>
  <c r="Z84" i="7" s="1"/>
  <c r="J109" i="15"/>
  <c r="C152" i="15"/>
  <c r="D21" i="17"/>
  <c r="L109" i="15"/>
  <c r="E152" i="15"/>
  <c r="K109" i="15"/>
  <c r="D152" i="15"/>
  <c r="G21" i="17"/>
  <c r="C21" i="17"/>
  <c r="W74" i="7"/>
  <c r="W84" i="7" s="1"/>
  <c r="Y74" i="7"/>
  <c r="Y84" i="7" s="1"/>
  <c r="AC76" i="7" s="1"/>
  <c r="H21" i="17"/>
  <c r="N109" i="15"/>
  <c r="G152" i="15"/>
  <c r="M109" i="15"/>
  <c r="F152" i="15"/>
  <c r="E21" i="17"/>
  <c r="X74" i="7"/>
  <c r="X84" i="7" s="1"/>
  <c r="AC74" i="7"/>
  <c r="H44" i="16" l="1"/>
  <c r="S22" i="16" s="1"/>
  <c r="N22" i="16"/>
  <c r="AH9" i="5"/>
  <c r="X123" i="6"/>
  <c r="AH14" i="5"/>
  <c r="X125" i="6"/>
  <c r="D153" i="15"/>
  <c r="K112" i="15"/>
  <c r="D156" i="15" s="1"/>
  <c r="K125" i="15"/>
  <c r="D9" i="17" s="1"/>
  <c r="D11" i="17" s="1"/>
  <c r="G153" i="15"/>
  <c r="N125" i="15"/>
  <c r="G9" i="17" s="1"/>
  <c r="G11" i="17" s="1"/>
  <c r="N112" i="15"/>
  <c r="G156" i="15" s="1"/>
  <c r="C153" i="15"/>
  <c r="J112" i="15"/>
  <c r="C156" i="15" s="1"/>
  <c r="J125" i="15"/>
  <c r="C9" i="17" s="1"/>
  <c r="C11" i="17" s="1"/>
  <c r="E153" i="15"/>
  <c r="L112" i="15"/>
  <c r="E156" i="15" s="1"/>
  <c r="L125" i="15"/>
  <c r="E9" i="17" s="1"/>
  <c r="E11" i="17" s="1"/>
  <c r="H153" i="15"/>
  <c r="O112" i="15"/>
  <c r="H156" i="15" s="1"/>
  <c r="O125" i="15"/>
  <c r="H9" i="17" s="1"/>
  <c r="H11" i="17" s="1"/>
  <c r="H20" i="17" s="1"/>
  <c r="F153" i="15"/>
  <c r="M125" i="15"/>
  <c r="F9" i="17" s="1"/>
  <c r="F11" i="17" s="1"/>
  <c r="M112" i="15"/>
  <c r="F156" i="15" s="1"/>
  <c r="Z123" i="6" l="1"/>
  <c r="Y123" i="6"/>
  <c r="Y125" i="6"/>
  <c r="Z125" i="6"/>
  <c r="D20" i="17"/>
  <c r="D39" i="17"/>
  <c r="D40" i="17" s="1"/>
  <c r="H22" i="17"/>
  <c r="D30" i="17" s="1"/>
  <c r="S7" i="17"/>
  <c r="S15" i="17" s="1"/>
  <c r="S25" i="17" s="1"/>
  <c r="S35" i="17" s="1"/>
  <c r="C33" i="17"/>
  <c r="H39" i="17" s="1"/>
  <c r="H40" i="17" s="1"/>
  <c r="C23" i="17"/>
  <c r="C24" i="17" s="1"/>
  <c r="B13" i="20" s="1"/>
  <c r="G39" i="17"/>
  <c r="G40" i="17" s="1"/>
  <c r="G20" i="17"/>
  <c r="E39" i="17"/>
  <c r="E40" i="17" s="1"/>
  <c r="E20" i="17"/>
  <c r="F39" i="17"/>
  <c r="F40" i="17" s="1"/>
  <c r="F20" i="17"/>
  <c r="C39" i="17"/>
  <c r="C40" i="17" s="1"/>
  <c r="C20" i="17"/>
  <c r="G22" i="17" l="1"/>
  <c r="R7" i="17"/>
  <c r="R15" i="17" s="1"/>
  <c r="R25" i="17" s="1"/>
  <c r="C22" i="17"/>
  <c r="B31" i="17"/>
  <c r="N7" i="17"/>
  <c r="N15" i="17" s="1"/>
  <c r="N25" i="17" s="1"/>
  <c r="C41" i="17"/>
  <c r="C42" i="17" s="1"/>
  <c r="C44" i="17" s="1"/>
  <c r="P7" i="17"/>
  <c r="P15" i="17" s="1"/>
  <c r="P25" i="17" s="1"/>
  <c r="P35" i="17" s="1"/>
  <c r="E22" i="17"/>
  <c r="F22" i="17"/>
  <c r="Q7" i="17"/>
  <c r="Q15" i="17" s="1"/>
  <c r="Q25" i="17" s="1"/>
  <c r="O7" i="17"/>
  <c r="O15" i="17" s="1"/>
  <c r="O25" i="17" s="1"/>
  <c r="D22" i="17"/>
  <c r="O35" i="17"/>
  <c r="S44" i="17"/>
  <c r="Q35" i="17"/>
  <c r="N35" i="17"/>
  <c r="R35" i="17"/>
  <c r="C25" i="17" l="1"/>
  <c r="Q44" i="17"/>
  <c r="O44" i="17"/>
  <c r="R44" i="17"/>
  <c r="S54" i="17"/>
  <c r="P44" i="17"/>
  <c r="N44" i="17"/>
  <c r="B12" i="20" l="1"/>
  <c r="B14" i="20" s="1"/>
  <c r="B15" i="20" s="1"/>
  <c r="C6" i="20" s="1"/>
  <c r="C18" i="16"/>
  <c r="C26" i="17"/>
  <c r="C27" i="17" s="1"/>
  <c r="C29" i="17" s="1"/>
  <c r="S63" i="17"/>
  <c r="Q54" i="17"/>
  <c r="N54" i="17"/>
  <c r="O54" i="17"/>
  <c r="P54" i="17"/>
  <c r="R54" i="17"/>
  <c r="C22" i="16" l="1"/>
  <c r="C24" i="16" s="1"/>
  <c r="D62" i="16" s="1"/>
  <c r="H18" i="16"/>
  <c r="C28" i="16"/>
  <c r="C50" i="16"/>
  <c r="N17" i="16"/>
  <c r="N21" i="16" s="1"/>
  <c r="N23" i="16" s="1"/>
  <c r="D64" i="16" s="1"/>
  <c r="C18" i="20"/>
  <c r="C9" i="20"/>
  <c r="C10" i="20" s="1"/>
  <c r="C3" i="20" s="1"/>
  <c r="C5" i="20" s="1"/>
  <c r="C19" i="20"/>
  <c r="O63" i="17"/>
  <c r="S72" i="17"/>
  <c r="P63" i="17"/>
  <c r="N63" i="17"/>
  <c r="R63" i="17"/>
  <c r="Q63" i="17"/>
  <c r="C32" i="16" l="1"/>
  <c r="C34" i="16" s="1"/>
  <c r="E62" i="16" s="1"/>
  <c r="C39" i="16"/>
  <c r="C43" i="16" s="1"/>
  <c r="C45" i="16" s="1"/>
  <c r="D63" i="16" s="1"/>
  <c r="C12" i="20"/>
  <c r="L5" i="17"/>
  <c r="C13" i="20"/>
  <c r="C54" i="16"/>
  <c r="C56" i="16" s="1"/>
  <c r="E63" i="16" s="1"/>
  <c r="N28" i="16"/>
  <c r="N32" i="16" s="1"/>
  <c r="N34" i="16" s="1"/>
  <c r="E64" i="16" s="1"/>
  <c r="H39" i="16"/>
  <c r="H43" i="16" s="1"/>
  <c r="H45" i="16" s="1"/>
  <c r="F63" i="16" s="1"/>
  <c r="H21" i="16"/>
  <c r="H22" i="16" s="1"/>
  <c r="H24" i="16" s="1"/>
  <c r="F62" i="16" s="1"/>
  <c r="S17" i="16"/>
  <c r="S21" i="16" s="1"/>
  <c r="S23" i="16" s="1"/>
  <c r="F64" i="16" s="1"/>
  <c r="N72" i="17"/>
  <c r="S81" i="17"/>
  <c r="Q72" i="17"/>
  <c r="R72" i="17"/>
  <c r="P72" i="17"/>
  <c r="O72" i="17"/>
  <c r="C14" i="20" l="1"/>
  <c r="C15" i="20" s="1"/>
  <c r="D6" i="20" s="1"/>
  <c r="N8" i="17"/>
  <c r="N9" i="17" s="1"/>
  <c r="Q8" i="17"/>
  <c r="Q9" i="17" s="1"/>
  <c r="P8" i="17"/>
  <c r="P9" i="17" s="1"/>
  <c r="O8" i="17"/>
  <c r="O9" i="17" s="1"/>
  <c r="R8" i="17"/>
  <c r="R9" i="17" s="1"/>
  <c r="S8" i="17"/>
  <c r="S9" i="17" s="1"/>
  <c r="N11" i="17" s="1"/>
  <c r="R81" i="17"/>
  <c r="O81" i="17"/>
  <c r="S90" i="17"/>
  <c r="P81" i="17"/>
  <c r="Q81" i="17"/>
  <c r="N81" i="17"/>
  <c r="N10" i="17" l="1"/>
  <c r="D9" i="20"/>
  <c r="D10" i="20" s="1"/>
  <c r="D3" i="20" s="1"/>
  <c r="D5" i="20" s="1"/>
  <c r="D18" i="20"/>
  <c r="D19" i="20"/>
  <c r="N90" i="17"/>
  <c r="O90" i="17"/>
  <c r="Q90" i="17"/>
  <c r="R90" i="17"/>
  <c r="P90" i="17"/>
  <c r="D12" i="20" l="1"/>
  <c r="D14" i="20" s="1"/>
  <c r="D15" i="20" s="1"/>
  <c r="E6" i="20" s="1"/>
  <c r="D13" i="20"/>
  <c r="L13" i="17"/>
  <c r="P16" i="17" l="1"/>
  <c r="P17" i="17" s="1"/>
  <c r="S16" i="17"/>
  <c r="S17" i="17" s="1"/>
  <c r="N19" i="17" s="1"/>
  <c r="R16" i="17"/>
  <c r="R17" i="17" s="1"/>
  <c r="O16" i="17"/>
  <c r="O17" i="17" s="1"/>
  <c r="Q16" i="17"/>
  <c r="Q17" i="17" s="1"/>
  <c r="N16" i="17"/>
  <c r="N17" i="17" s="1"/>
  <c r="N18" i="17" s="1"/>
  <c r="E19" i="20"/>
  <c r="E9" i="20"/>
  <c r="E10" i="20" s="1"/>
  <c r="E3" i="20" s="1"/>
  <c r="E5" i="20" s="1"/>
  <c r="E18" i="20"/>
  <c r="L24" i="17" l="1"/>
  <c r="E12" i="20"/>
  <c r="E13" i="20"/>
  <c r="E14" i="20" l="1"/>
  <c r="E15" i="20" s="1"/>
  <c r="F6" i="20" s="1"/>
  <c r="S26" i="17"/>
  <c r="S27" i="17" s="1"/>
  <c r="N29" i="17" s="1"/>
  <c r="N26" i="17"/>
  <c r="N27" i="17" s="1"/>
  <c r="O26" i="17"/>
  <c r="O27" i="17" s="1"/>
  <c r="R26" i="17"/>
  <c r="R27" i="17" s="1"/>
  <c r="P26" i="17"/>
  <c r="P27" i="17" s="1"/>
  <c r="Q26" i="17"/>
  <c r="Q27" i="17" s="1"/>
  <c r="N28" i="17" l="1"/>
  <c r="F18" i="20"/>
  <c r="F9" i="20"/>
  <c r="F10" i="20" s="1"/>
  <c r="F3" i="20" s="1"/>
  <c r="F5" i="20" s="1"/>
  <c r="F19" i="20"/>
  <c r="F13" i="20" l="1"/>
  <c r="F12" i="20"/>
  <c r="L34" i="17"/>
  <c r="R36" i="17" l="1"/>
  <c r="R37" i="17" s="1"/>
  <c r="P36" i="17"/>
  <c r="P37" i="17" s="1"/>
  <c r="S36" i="17"/>
  <c r="S37" i="17" s="1"/>
  <c r="N39" i="17" s="1"/>
  <c r="Q36" i="17"/>
  <c r="Q37" i="17" s="1"/>
  <c r="N36" i="17"/>
  <c r="N37" i="17" s="1"/>
  <c r="O36" i="17"/>
  <c r="O37" i="17" s="1"/>
  <c r="F14" i="20"/>
  <c r="F15" i="20" s="1"/>
  <c r="G6" i="20" s="1"/>
  <c r="G18" i="20" l="1"/>
  <c r="G9" i="20"/>
  <c r="G10" i="20" s="1"/>
  <c r="G3" i="20" s="1"/>
  <c r="G5" i="20" s="1"/>
  <c r="G19" i="20"/>
  <c r="N38" i="17"/>
  <c r="L43" i="17" l="1"/>
  <c r="G12" i="20"/>
  <c r="G13" i="20"/>
  <c r="G14" i="20" l="1"/>
  <c r="G15" i="20" s="1"/>
  <c r="H6" i="20" s="1"/>
  <c r="S45" i="17"/>
  <c r="S46" i="17" s="1"/>
  <c r="N48" i="17" s="1"/>
  <c r="R45" i="17"/>
  <c r="R46" i="17" s="1"/>
  <c r="N45" i="17"/>
  <c r="N46" i="17" s="1"/>
  <c r="Q45" i="17"/>
  <c r="Q46" i="17" s="1"/>
  <c r="O45" i="17"/>
  <c r="O46" i="17" s="1"/>
  <c r="P45" i="17"/>
  <c r="P46" i="17" s="1"/>
  <c r="N47" i="17" l="1"/>
  <c r="H18" i="20"/>
  <c r="H9" i="20"/>
  <c r="H10" i="20" s="1"/>
  <c r="H3" i="20" s="1"/>
  <c r="H5" i="20" s="1"/>
  <c r="H19" i="20"/>
  <c r="L53" i="17" l="1"/>
  <c r="H13" i="20"/>
  <c r="H12" i="20"/>
  <c r="H14" i="20" s="1"/>
  <c r="H15" i="20" s="1"/>
  <c r="I6" i="20" s="1"/>
  <c r="I19" i="20" l="1"/>
  <c r="I18" i="20"/>
  <c r="I9" i="20"/>
  <c r="I10" i="20" s="1"/>
  <c r="I3" i="20" s="1"/>
  <c r="I5" i="20" s="1"/>
  <c r="O55" i="17"/>
  <c r="O56" i="17" s="1"/>
  <c r="R55" i="17"/>
  <c r="R56" i="17" s="1"/>
  <c r="P55" i="17"/>
  <c r="P56" i="17" s="1"/>
  <c r="N55" i="17"/>
  <c r="N56" i="17" s="1"/>
  <c r="N57" i="17" s="1"/>
  <c r="S55" i="17"/>
  <c r="S56" i="17" s="1"/>
  <c r="N58" i="17" s="1"/>
  <c r="Q55" i="17"/>
  <c r="Q56" i="17" s="1"/>
  <c r="I12" i="20" l="1"/>
  <c r="I13" i="20"/>
  <c r="I14" i="20" s="1"/>
  <c r="I15" i="20" s="1"/>
  <c r="J6" i="20" s="1"/>
  <c r="L62" i="17"/>
  <c r="N64" i="17" l="1"/>
  <c r="N65" i="17" s="1"/>
  <c r="P64" i="17"/>
  <c r="P65" i="17" s="1"/>
  <c r="S64" i="17"/>
  <c r="S65" i="17" s="1"/>
  <c r="N67" i="17" s="1"/>
  <c r="Q64" i="17"/>
  <c r="Q65" i="17" s="1"/>
  <c r="R64" i="17"/>
  <c r="R65" i="17" s="1"/>
  <c r="O64" i="17"/>
  <c r="O65" i="17" s="1"/>
  <c r="J19" i="20"/>
  <c r="J9" i="20"/>
  <c r="J10" i="20" s="1"/>
  <c r="J3" i="20" s="1"/>
  <c r="J5" i="20" s="1"/>
  <c r="J18" i="20"/>
  <c r="J13" i="20" l="1"/>
  <c r="J12" i="20"/>
  <c r="J14" i="20" s="1"/>
  <c r="J15" i="20" s="1"/>
  <c r="K6" i="20" s="1"/>
  <c r="K18" i="20" s="1"/>
  <c r="L71" i="17"/>
  <c r="N66" i="17"/>
  <c r="K9" i="20"/>
  <c r="K10" i="20" s="1"/>
  <c r="K3" i="20" s="1"/>
  <c r="K5" i="20" s="1"/>
  <c r="K12" i="20" s="1"/>
  <c r="K19" i="20"/>
  <c r="O73" i="17" l="1"/>
  <c r="O74" i="17" s="1"/>
  <c r="P73" i="17"/>
  <c r="P74" i="17" s="1"/>
  <c r="R73" i="17"/>
  <c r="R74" i="17" s="1"/>
  <c r="N73" i="17"/>
  <c r="N74" i="17" s="1"/>
  <c r="Q73" i="17"/>
  <c r="Q74" i="17" s="1"/>
  <c r="S73" i="17"/>
  <c r="S74" i="17" s="1"/>
  <c r="N76" i="17" s="1"/>
  <c r="K13" i="20"/>
  <c r="K14" i="20" s="1"/>
  <c r="K15" i="20" s="1"/>
  <c r="L6" i="20" s="1"/>
  <c r="L80" i="17"/>
  <c r="P82" i="17" s="1"/>
  <c r="P83" i="17" s="1"/>
  <c r="N75" i="17" l="1"/>
  <c r="S82" i="17"/>
  <c r="S83" i="17" s="1"/>
  <c r="N85" i="17" s="1"/>
  <c r="O82" i="17"/>
  <c r="O83" i="17" s="1"/>
  <c r="Q82" i="17"/>
  <c r="Q83" i="17" s="1"/>
  <c r="N82" i="17"/>
  <c r="N83" i="17" s="1"/>
  <c r="R82" i="17"/>
  <c r="R83" i="17" s="1"/>
  <c r="L19" i="20"/>
  <c r="P17" i="20" s="1"/>
  <c r="L9" i="20"/>
  <c r="P8" i="20" s="1"/>
  <c r="L18" i="20"/>
  <c r="P16" i="20" s="1"/>
  <c r="L10" i="20" l="1"/>
  <c r="L3" i="20" s="1"/>
  <c r="N84" i="17"/>
  <c r="P9" i="20" l="1"/>
  <c r="P3" i="20"/>
  <c r="L5" i="20"/>
  <c r="L13" i="20" s="1"/>
  <c r="L12" i="20" l="1"/>
  <c r="P5" i="20"/>
  <c r="L90" i="17"/>
  <c r="P12" i="20"/>
  <c r="N91" i="17" l="1"/>
  <c r="N92" i="17" s="1"/>
  <c r="O91" i="17"/>
  <c r="O92" i="17" s="1"/>
  <c r="R91" i="17"/>
  <c r="R92" i="17" s="1"/>
  <c r="Q91" i="17"/>
  <c r="Q92" i="17" s="1"/>
  <c r="P91" i="17"/>
  <c r="P92" i="17" s="1"/>
  <c r="S91" i="17"/>
  <c r="S92" i="17" s="1"/>
  <c r="N94" i="17" s="1"/>
  <c r="L14" i="20"/>
  <c r="P11" i="20"/>
  <c r="L15" i="20" l="1"/>
  <c r="P13" i="20"/>
  <c r="H4" i="16" s="1"/>
  <c r="N93" i="17"/>
  <c r="P14" i="20" l="1"/>
  <c r="H6" i="16"/>
  <c r="C12" i="16" s="1"/>
  <c r="K4" i="16"/>
  <c r="N4" i="16" l="1"/>
  <c r="K6" i="16"/>
  <c r="D12" i="16" s="1"/>
  <c r="N6" i="16" l="1"/>
  <c r="E12" i="16" s="1"/>
</calcChain>
</file>

<file path=xl/sharedStrings.xml><?xml version="1.0" encoding="utf-8"?>
<sst xmlns="http://schemas.openxmlformats.org/spreadsheetml/2006/main" count="1280" uniqueCount="495">
  <si>
    <t>Historisk</t>
  </si>
  <si>
    <t>Forecast</t>
  </si>
  <si>
    <t>Resultatregnskap</t>
  </si>
  <si>
    <t>Terminalperiode</t>
  </si>
  <si>
    <t>Balanseregnskap</t>
  </si>
  <si>
    <t>Terminal</t>
  </si>
  <si>
    <t>Ratios</t>
  </si>
  <si>
    <t>Gjennomsnitt</t>
  </si>
  <si>
    <t>gjennomsnitt</t>
  </si>
  <si>
    <t>Varekostnad i % av inntekt</t>
  </si>
  <si>
    <t>Tomter (O)</t>
  </si>
  <si>
    <t>Lønnskostnader i % av inntekt</t>
  </si>
  <si>
    <t>Maskiner (O)</t>
  </si>
  <si>
    <t>Andre driftskostnader i % av inntekt</t>
  </si>
  <si>
    <t>Driftsløsøre/inventar (O)</t>
  </si>
  <si>
    <t>Avskrivninger i % av annleggsmidlene</t>
  </si>
  <si>
    <t>Annen driftsinntekt i % av inntekt</t>
  </si>
  <si>
    <t>Finanskostnader i % av NIBD</t>
  </si>
  <si>
    <t>Finansinntekter i % av NIBD</t>
  </si>
  <si>
    <t>Levrandørgjeld av varekost</t>
  </si>
  <si>
    <t>Skylidg offentlige avgifter i % av salgsinntekger</t>
  </si>
  <si>
    <t>Annen kortsiktig gjeld i % av salgsinntekter</t>
  </si>
  <si>
    <t>Betalbar skatt i % av salgsinntektene</t>
  </si>
  <si>
    <t>Gross profit margin</t>
  </si>
  <si>
    <t>Opptjent ek av salgsinntekter</t>
  </si>
  <si>
    <t>Investeringer i anleggsmidler</t>
  </si>
  <si>
    <t>Operasjonelle Anleggsmidler IB</t>
  </si>
  <si>
    <t>Avskrivninger samme året</t>
  </si>
  <si>
    <t>Invsteringer i anleggsmidler</t>
  </si>
  <si>
    <t>Anleggsmidler UB</t>
  </si>
  <si>
    <t>Hjelpeberegninger</t>
  </si>
  <si>
    <t>Anleggsmidler UB  / salgsinntekter</t>
  </si>
  <si>
    <t>Avskrivninger / Anleggmidler IB</t>
  </si>
  <si>
    <t>Gjennomsnitt av investeringer eksklusiv 2021</t>
  </si>
  <si>
    <t>Inflasjon</t>
  </si>
  <si>
    <t>Avskrivningssats - 2022</t>
  </si>
  <si>
    <t>NOWC</t>
  </si>
  <si>
    <t>Varelager</t>
  </si>
  <si>
    <t>Kundefordringer</t>
  </si>
  <si>
    <t>Operasjonelle kontanter</t>
  </si>
  <si>
    <t>Sum operasjonelle omløpsmidler</t>
  </si>
  <si>
    <t>´- Skyldig offentlig avgifter</t>
  </si>
  <si>
    <t>´- Betalbar skatt</t>
  </si>
  <si>
    <t>´- Annen kortsiktig gjeld</t>
  </si>
  <si>
    <t>Sum operasjonell kortsiktig gjeld</t>
  </si>
  <si>
    <t>Netto arbeidskapital</t>
  </si>
  <si>
    <t>Varige driftsmidler</t>
  </si>
  <si>
    <t>Immaterielle eiendeler</t>
  </si>
  <si>
    <t>NOA</t>
  </si>
  <si>
    <t>Hjelpeberegninger investert kapital i forecast periode</t>
  </si>
  <si>
    <t>Varekostnad</t>
  </si>
  <si>
    <t>UB Varelager</t>
  </si>
  <si>
    <t>IB Varelager</t>
  </si>
  <si>
    <t>Gjennomsnittlig varelagertid</t>
  </si>
  <si>
    <t>Dager i året</t>
  </si>
  <si>
    <t>Varekjøp</t>
  </si>
  <si>
    <t>Nøkkeltall for FCF</t>
  </si>
  <si>
    <t>Endring i Arbeidskapital</t>
  </si>
  <si>
    <t>Investering i anleggsmidler</t>
  </si>
  <si>
    <t>investeringer i arbeidskapital</t>
  </si>
  <si>
    <t>Endring</t>
  </si>
  <si>
    <t>Verdsettelse</t>
  </si>
  <si>
    <t>Ak krav</t>
  </si>
  <si>
    <t>FCF MED NYTT AVKASTNINGSKRAV FRA ITERASJON 1</t>
  </si>
  <si>
    <t>EBITA</t>
  </si>
  <si>
    <t>Vekst</t>
  </si>
  <si>
    <t>NOPAT</t>
  </si>
  <si>
    <t>Avskrivninger på anleggsmidler</t>
  </si>
  <si>
    <t>Investeringer i arbeidskapital</t>
  </si>
  <si>
    <t>Investeringer i anleggsmider</t>
  </si>
  <si>
    <t>NNV</t>
  </si>
  <si>
    <t>Unlevered Free Cash Flow (FCF)</t>
  </si>
  <si>
    <t>Terminalverdi</t>
  </si>
  <si>
    <t>Avkastningskrav til totalkapitalen</t>
  </si>
  <si>
    <t>Terminalverdivekst</t>
  </si>
  <si>
    <t>Iterasjon 2</t>
  </si>
  <si>
    <t xml:space="preserve">                                 </t>
  </si>
  <si>
    <t>FCF METODEN</t>
  </si>
  <si>
    <t>N</t>
  </si>
  <si>
    <t>FCF</t>
  </si>
  <si>
    <t>Discount factor</t>
  </si>
  <si>
    <t>Discount FCF</t>
  </si>
  <si>
    <t>Iterasjon 3</t>
  </si>
  <si>
    <t>Nåverdi av terminalverdi</t>
  </si>
  <si>
    <t>Ak krav'</t>
  </si>
  <si>
    <t>Nåverdi FKS eksplisitt periode</t>
  </si>
  <si>
    <t>Enterprise value i Tnok</t>
  </si>
  <si>
    <t>Enterprise value</t>
  </si>
  <si>
    <t>Rentebærende gjeld</t>
  </si>
  <si>
    <t>Markedsverdi egenkapital</t>
  </si>
  <si>
    <t>Terminal Value</t>
  </si>
  <si>
    <t>Iterasjon 4</t>
  </si>
  <si>
    <t>WACC</t>
  </si>
  <si>
    <t>Ak Krav</t>
  </si>
  <si>
    <t>GROWTH</t>
  </si>
  <si>
    <t>FCF METODEN - PÅ EN ALTERNATIV MÅTE</t>
  </si>
  <si>
    <t>År</t>
  </si>
  <si>
    <t>FCFF</t>
  </si>
  <si>
    <t>Discounted cash flows</t>
  </si>
  <si>
    <t xml:space="preserve">NNV </t>
  </si>
  <si>
    <t>Iterasjon 5</t>
  </si>
  <si>
    <t xml:space="preserve">Markedsverdi EK </t>
  </si>
  <si>
    <t>Terminal value</t>
  </si>
  <si>
    <t>Wavv</t>
  </si>
  <si>
    <t xml:space="preserve">Wacc </t>
  </si>
  <si>
    <t>Diskonterte cashflow</t>
  </si>
  <si>
    <t>Nåverdi av TV</t>
  </si>
  <si>
    <t>Iterasjon 7</t>
  </si>
  <si>
    <t>Iterasjon 8</t>
  </si>
  <si>
    <t>Iterasjon 9</t>
  </si>
  <si>
    <t>Iterasjon 10</t>
  </si>
  <si>
    <t>Selskap</t>
  </si>
  <si>
    <t>Egenkapitalbeta raw</t>
  </si>
  <si>
    <t xml:space="preserve">Egenkapital justert </t>
  </si>
  <si>
    <t>Market cap (m)</t>
  </si>
  <si>
    <t>Total debt(m)</t>
  </si>
  <si>
    <t>total cash(m)</t>
  </si>
  <si>
    <t>Firm value</t>
  </si>
  <si>
    <t>Cadiz</t>
  </si>
  <si>
    <t>AK KRAV TIL GJELD</t>
  </si>
  <si>
    <t>Limoneira co</t>
  </si>
  <si>
    <t>Risikofri rente</t>
  </si>
  <si>
    <t>Al gassim invetsment holding</t>
  </si>
  <si>
    <t>Risikopåslag MG</t>
  </si>
  <si>
    <t>BLD plantation BHD</t>
  </si>
  <si>
    <t>Risikopåslag Norge</t>
  </si>
  <si>
    <t>United Malacca BHD</t>
  </si>
  <si>
    <t>Avkastningskrav før skatt</t>
  </si>
  <si>
    <t>Calavo growers INC</t>
  </si>
  <si>
    <t>Skattesats</t>
  </si>
  <si>
    <t>Farmmi INC</t>
  </si>
  <si>
    <t>Avkastningskrav etter skatt</t>
  </si>
  <si>
    <t>Scotts miracle-gro co</t>
  </si>
  <si>
    <t>Archer-Daniels-Midland CO</t>
  </si>
  <si>
    <t>Median</t>
  </si>
  <si>
    <t>Village farms</t>
  </si>
  <si>
    <t>Egenkapitalbeta</t>
  </si>
  <si>
    <t>Gjeldsgrad</t>
  </si>
  <si>
    <t>Unlevered company</t>
  </si>
  <si>
    <t>tax</t>
  </si>
  <si>
    <t>Cash/firm value</t>
  </si>
  <si>
    <t>Unlevered business</t>
  </si>
  <si>
    <t>Varians Unlevered business</t>
  </si>
  <si>
    <t>EK beta</t>
  </si>
  <si>
    <t>EK andel</t>
  </si>
  <si>
    <t>Standardavvik</t>
  </si>
  <si>
    <t xml:space="preserve">Cadiz (RIP FARMMI) </t>
  </si>
  <si>
    <t xml:space="preserve">Miljøgartneriets BETA </t>
  </si>
  <si>
    <t>Blumejustert Beta</t>
  </si>
  <si>
    <t>Beta Miljø Gartneriet</t>
  </si>
  <si>
    <t>R (Correlation)</t>
  </si>
  <si>
    <t>Limoneira</t>
  </si>
  <si>
    <t>Al gassim investment holding</t>
  </si>
  <si>
    <t>BLD Plantation</t>
  </si>
  <si>
    <t>Calavo Growers INC.</t>
  </si>
  <si>
    <t>Scotts Miracle-Gro</t>
  </si>
  <si>
    <t>Archer Daniels Midland</t>
  </si>
  <si>
    <t>Korrelasjon gjennomsnitt</t>
  </si>
  <si>
    <t>EV/EBITDA</t>
  </si>
  <si>
    <t>EV/EBIT</t>
  </si>
  <si>
    <t>EV/SALES</t>
  </si>
  <si>
    <t>EV</t>
  </si>
  <si>
    <t>EBITDA</t>
  </si>
  <si>
    <t>Harmonisk gjennomsnitt</t>
  </si>
  <si>
    <t>Medianen av multiplene</t>
  </si>
  <si>
    <t>Selskaps- og egenkapitalverdi ved bruk av implisitt EV/EBITDA-multippel</t>
  </si>
  <si>
    <t>Selskaps- og egenkapitalverdi ved bruk av implisitt EV/Sales-multippel</t>
  </si>
  <si>
    <t>Nåverdi av FCF</t>
  </si>
  <si>
    <t>Terminal år EBITDA 2028</t>
  </si>
  <si>
    <t>Terminal år salgsinntekter</t>
  </si>
  <si>
    <t>EV/EBITDA multippel</t>
  </si>
  <si>
    <t>EV/Sales multippel</t>
  </si>
  <si>
    <t>Enterprise Value</t>
  </si>
  <si>
    <t>Markedsverdi EK</t>
  </si>
  <si>
    <t>Selskaps- og egenkapitalverdi ved bruk av EV/EBIT-multippel</t>
  </si>
  <si>
    <t>Terminal år EBIT 2028</t>
  </si>
  <si>
    <t>Median EV/EBIT multippel</t>
  </si>
  <si>
    <t>Harmonisk gjennomsnitt EV/EBIT</t>
  </si>
  <si>
    <t>Markedverdi EK</t>
  </si>
  <si>
    <t>Gjennomsnittet av multiplene</t>
  </si>
  <si>
    <t>Gjennomsnitt EV/EBIT</t>
  </si>
  <si>
    <t>(i TNOK)</t>
  </si>
  <si>
    <t>EV/Sales</t>
  </si>
  <si>
    <t>Forventningsverdi</t>
  </si>
  <si>
    <t>Varians</t>
  </si>
  <si>
    <t>Standard avvik</t>
  </si>
  <si>
    <t>Begrensninger (Ø/N)</t>
  </si>
  <si>
    <t>RISIKOFRI RENTE</t>
  </si>
  <si>
    <t>Salgsinntekt</t>
  </si>
  <si>
    <t>Vekst i %</t>
  </si>
  <si>
    <t>Annen driftskostnad i % av salgsinntekt</t>
  </si>
  <si>
    <t>Markedets risikopremie</t>
  </si>
  <si>
    <t>[10% , 4%]</t>
  </si>
  <si>
    <t>Unlevered beta (Ikke blumejustert)</t>
  </si>
  <si>
    <t>[1,66 , 0,23]</t>
  </si>
  <si>
    <t>RF</t>
  </si>
  <si>
    <t>Markedsavkastningen</t>
  </si>
  <si>
    <t>Markedets risikopremie etter skatt</t>
  </si>
  <si>
    <t>CAPM</t>
  </si>
  <si>
    <t>Gjeldskostnad</t>
  </si>
  <si>
    <t>Capm EK</t>
  </si>
  <si>
    <t>Wacc</t>
  </si>
  <si>
    <t>Verdi EK</t>
  </si>
  <si>
    <t>Verdi rentebærende gjeld</t>
  </si>
  <si>
    <t>Unlevered Beta</t>
  </si>
  <si>
    <t>Levered Beta</t>
  </si>
  <si>
    <t>Blumejustert levered beta</t>
  </si>
  <si>
    <t>NPV eksplisittperiode</t>
  </si>
  <si>
    <t>NPV</t>
  </si>
  <si>
    <t>Terminalverdien</t>
  </si>
  <si>
    <t>Egenkapitalandel</t>
  </si>
  <si>
    <t>Wacc vekter</t>
  </si>
  <si>
    <t>Gjeldsandel</t>
  </si>
  <si>
    <t>EK Andel</t>
  </si>
  <si>
    <t>Nøkkeltall</t>
  </si>
  <si>
    <t>MRP</t>
  </si>
  <si>
    <t>Skatt</t>
  </si>
  <si>
    <t>HISTORISKE TALL</t>
  </si>
  <si>
    <t>Tnok</t>
  </si>
  <si>
    <t>Res før skatt</t>
  </si>
  <si>
    <t>Salgsinntekter</t>
  </si>
  <si>
    <t>Betalt skatt</t>
  </si>
  <si>
    <t>Skatt i %</t>
  </si>
  <si>
    <t>Annen driftsinntekt</t>
  </si>
  <si>
    <t>Gross profit</t>
  </si>
  <si>
    <t>Operasjonell cash</t>
  </si>
  <si>
    <t>Lønnskostnader</t>
  </si>
  <si>
    <t>Andre driftskostnader</t>
  </si>
  <si>
    <t>EBITDA MARGIN</t>
  </si>
  <si>
    <t>Avskrivninger</t>
  </si>
  <si>
    <t>EBITA MARGIN</t>
  </si>
  <si>
    <t>Skatteskjold reversert</t>
  </si>
  <si>
    <t>Operasjonell skattekostnad</t>
  </si>
  <si>
    <t>Operasjonell skattekostnad i %</t>
  </si>
  <si>
    <t>NOPAT MARGIN</t>
  </si>
  <si>
    <t>Finanskostnader</t>
  </si>
  <si>
    <t>Finansinntekter</t>
  </si>
  <si>
    <t>Skatteskjold</t>
  </si>
  <si>
    <t>Konsolidert profitt</t>
  </si>
  <si>
    <t>CE-Format</t>
  </si>
  <si>
    <t>Balancesheet</t>
  </si>
  <si>
    <t>TA-Format</t>
  </si>
  <si>
    <t>Innskutt EK</t>
  </si>
  <si>
    <t>Opptjent EK</t>
  </si>
  <si>
    <t>Sum EK</t>
  </si>
  <si>
    <t>Sum ek</t>
  </si>
  <si>
    <t>Sum avsetninger til forpliktelser (Utsatt skatt) (O)</t>
  </si>
  <si>
    <t>Immaterielle eiendeler (O)</t>
  </si>
  <si>
    <t xml:space="preserve">Pant/gjeld til kredittinstitusjoner (F) </t>
  </si>
  <si>
    <t>Sum Varige driftsmidler</t>
  </si>
  <si>
    <t>P(NCOL)</t>
  </si>
  <si>
    <t xml:space="preserve">Ordinært utbytte (F) </t>
  </si>
  <si>
    <t>Sum langsiktig gjeld</t>
  </si>
  <si>
    <t>ONCA</t>
  </si>
  <si>
    <t>NONCA</t>
  </si>
  <si>
    <t>Sum finansielle anleggsmidler (F)</t>
  </si>
  <si>
    <t>Leverandørgjeld (O)</t>
  </si>
  <si>
    <t>Sum varelager(O)</t>
  </si>
  <si>
    <t>Overskytende kasse/bank/post(F)</t>
  </si>
  <si>
    <t>Sum anleggsmidler</t>
  </si>
  <si>
    <t>Skyldig offentlige avgifter (O)</t>
  </si>
  <si>
    <t>Kasse/bank/post(F)</t>
  </si>
  <si>
    <t>Operasjonelle kontanter (O)</t>
  </si>
  <si>
    <t>IBD</t>
  </si>
  <si>
    <t>Operasjonell kontanter (O)</t>
  </si>
  <si>
    <t>Investeringer i aksjer og andeler(F)</t>
  </si>
  <si>
    <t>Sum fordringer(O)</t>
  </si>
  <si>
    <t>NIBD</t>
  </si>
  <si>
    <t xml:space="preserve">Annen kortsiktig gjeld (O) </t>
  </si>
  <si>
    <t>FA</t>
  </si>
  <si>
    <t>TOTAL E + IBD</t>
  </si>
  <si>
    <t>Betalbar skatt (O)</t>
  </si>
  <si>
    <t>Total E + NIBD</t>
  </si>
  <si>
    <t>Sum kortsiktig gjeld</t>
  </si>
  <si>
    <t>Sum gjeld</t>
  </si>
  <si>
    <t>Sum omløpsmidler</t>
  </si>
  <si>
    <t>OCA</t>
  </si>
  <si>
    <t>OCL</t>
  </si>
  <si>
    <t>Sum eiendeler</t>
  </si>
  <si>
    <t>Sum ek og gjeld</t>
  </si>
  <si>
    <t>Total assets (ONCA+FA+OCA)</t>
  </si>
  <si>
    <t>Total E+P+IBD+OCL</t>
  </si>
  <si>
    <t>NOA (NONCA+NOWC) (invested capital)</t>
  </si>
  <si>
    <t>NOA INVESTED CAPITAL (NONCA+NOWC)</t>
  </si>
  <si>
    <t>TOTAL CA (NTA) NOA+FA</t>
  </si>
  <si>
    <t xml:space="preserve">NOA.   </t>
  </si>
  <si>
    <t>Leverandørgjeld</t>
  </si>
  <si>
    <t>Skyldig offentlige etater</t>
  </si>
  <si>
    <t>Betalbar skatt</t>
  </si>
  <si>
    <t>Annen kortsiktig gjeld</t>
  </si>
  <si>
    <t>immaterielle eiendeler</t>
  </si>
  <si>
    <t>Skavland</t>
  </si>
  <si>
    <t>´- Leverandørgjeld</t>
  </si>
  <si>
    <t>Lønnskotnader i % av SI</t>
  </si>
  <si>
    <t>Kortsiktig likviditetsanalyse</t>
  </si>
  <si>
    <t xml:space="preserve">Likviditet effektivitet </t>
  </si>
  <si>
    <t>Langsiktig likviditetsanalyse</t>
  </si>
  <si>
    <t>Omløpsmidler</t>
  </si>
  <si>
    <t>ÅR</t>
  </si>
  <si>
    <t>Gjennomsnitt CCC</t>
  </si>
  <si>
    <t>GJ</t>
  </si>
  <si>
    <t>Kortisktig gjeld</t>
  </si>
  <si>
    <t xml:space="preserve">Egenkapital  </t>
  </si>
  <si>
    <t>Likviditetsgrad 1</t>
  </si>
  <si>
    <t>Antall dager</t>
  </si>
  <si>
    <t>Totalkapital</t>
  </si>
  <si>
    <t>Lagringstid varer</t>
  </si>
  <si>
    <t>Kundefordring</t>
  </si>
  <si>
    <t>Gjeld</t>
  </si>
  <si>
    <t>Kortsiktig gjeld</t>
  </si>
  <si>
    <t>Kredittsalg</t>
  </si>
  <si>
    <t>Likviditetsgrad 2</t>
  </si>
  <si>
    <t>Ratio</t>
  </si>
  <si>
    <t>Kundekredittid</t>
  </si>
  <si>
    <t xml:space="preserve">Gjeld </t>
  </si>
  <si>
    <t>Varelager IB</t>
  </si>
  <si>
    <t>Varelager UB</t>
  </si>
  <si>
    <t>EBIT</t>
  </si>
  <si>
    <t>leverandørgjeld</t>
  </si>
  <si>
    <t>interest expense</t>
  </si>
  <si>
    <t>Brutto rentekostnader</t>
  </si>
  <si>
    <t>Interest coverage ratio</t>
  </si>
  <si>
    <t>Rentedekningsgrad</t>
  </si>
  <si>
    <t>Vareforbruk</t>
  </si>
  <si>
    <t>Gjennomsnittlig varelager</t>
  </si>
  <si>
    <t>Leverandør kredittid</t>
  </si>
  <si>
    <t>Varelagerets omløpshastighet</t>
  </si>
  <si>
    <t>CAPEX</t>
  </si>
  <si>
    <t>CCC</t>
  </si>
  <si>
    <t>Miljø Gartneriet</t>
  </si>
  <si>
    <t>Varelagertid</t>
  </si>
  <si>
    <t>Leverandørtid</t>
  </si>
  <si>
    <t>Bransjegjennomsnitt likviditet</t>
  </si>
  <si>
    <t>Skavland omgruppert regnskap</t>
  </si>
  <si>
    <t>Skavland likviditet</t>
  </si>
  <si>
    <t>Hanasand omgruppert regnskap</t>
  </si>
  <si>
    <t>Grude gartneri</t>
  </si>
  <si>
    <t>Operasjonell kontanter</t>
  </si>
  <si>
    <t>Grude Gartneri AS</t>
  </si>
  <si>
    <t>Likviditetsgard 1</t>
  </si>
  <si>
    <t>Skatt betalt</t>
  </si>
  <si>
    <t>Salgsinntekt vekst i %</t>
  </si>
  <si>
    <t>Annen driftsinntekter</t>
  </si>
  <si>
    <t>Hansand Gartneri AS </t>
  </si>
  <si>
    <t>Frostagrønt</t>
  </si>
  <si>
    <t>Skavlad Gartneri AS </t>
  </si>
  <si>
    <t>Nedskrivninger</t>
  </si>
  <si>
    <t>Frostad Grønt AS </t>
  </si>
  <si>
    <t>Solbergs Gartneri AS </t>
  </si>
  <si>
    <t>Net incum</t>
  </si>
  <si>
    <t>ROIC</t>
  </si>
  <si>
    <t>Lauvsnes Gartneri AS </t>
  </si>
  <si>
    <t>Skavland Gartneri</t>
  </si>
  <si>
    <t>Likviditetsgrad 1 gj</t>
  </si>
  <si>
    <t>Likviditetsgrad 2 gj</t>
  </si>
  <si>
    <t>Miljø likviditet 1</t>
  </si>
  <si>
    <t>Miljø likviditet 2</t>
  </si>
  <si>
    <t>Bransjegjennomsnitt</t>
  </si>
  <si>
    <t>Miljø likviditetsgrad 2</t>
  </si>
  <si>
    <t>NOA (NONCA+NOWC)</t>
  </si>
  <si>
    <t>bra roic</t>
  </si>
  <si>
    <t>SKAVLAND</t>
  </si>
  <si>
    <t xml:space="preserve">NOA </t>
  </si>
  <si>
    <t>ROIC Miljøgartneriet</t>
  </si>
  <si>
    <t>ROIC Skavland</t>
  </si>
  <si>
    <t>Revenue</t>
  </si>
  <si>
    <t xml:space="preserve">EBITDA </t>
  </si>
  <si>
    <t>profittmargin</t>
  </si>
  <si>
    <t>Kapitalens omløpshastighet Miljøgartneriet</t>
  </si>
  <si>
    <t>WIIG</t>
  </si>
  <si>
    <t>Kapitalens omløpshastighet Skavland</t>
  </si>
  <si>
    <t>Lønnskostnad</t>
  </si>
  <si>
    <t>Operating profit after taxes</t>
  </si>
  <si>
    <t>Beholdningsendring</t>
  </si>
  <si>
    <t>Hanasand gartneri</t>
  </si>
  <si>
    <t>Omløpshastighet på investert kapital</t>
  </si>
  <si>
    <t>Driftsmargin</t>
  </si>
  <si>
    <t>Skattesjold reversert</t>
  </si>
  <si>
    <t>Finansinntekt</t>
  </si>
  <si>
    <t xml:space="preserve">Frostad grønt </t>
  </si>
  <si>
    <t>Finanskostnad</t>
  </si>
  <si>
    <t>Antall dager i året</t>
  </si>
  <si>
    <t>Bundet kapital</t>
  </si>
  <si>
    <t xml:space="preserve">Miljø </t>
  </si>
  <si>
    <t>Miljø</t>
  </si>
  <si>
    <t>Leverandørkredittid</t>
  </si>
  <si>
    <t xml:space="preserve">Solbergs gartneri </t>
  </si>
  <si>
    <t> </t>
  </si>
  <si>
    <t>Lauvsnes gartneri</t>
  </si>
  <si>
    <t>med normal bank</t>
  </si>
  <si>
    <t>gj</t>
  </si>
  <si>
    <t>Likviditet skavland</t>
  </si>
  <si>
    <t>roic</t>
  </si>
  <si>
    <t>Net financial expenses</t>
  </si>
  <si>
    <t>LØNNSOMHETSANALYSE</t>
  </si>
  <si>
    <t>Historiske tall</t>
  </si>
  <si>
    <t>Net income</t>
  </si>
  <si>
    <t>Share capital</t>
  </si>
  <si>
    <t>ROE</t>
  </si>
  <si>
    <t>Total assets</t>
  </si>
  <si>
    <t>ROA</t>
  </si>
  <si>
    <t>MG</t>
  </si>
  <si>
    <t>Capital turnover rate</t>
  </si>
  <si>
    <t>VARELAGERTID</t>
  </si>
  <si>
    <t>KUNDEKREDITTID</t>
  </si>
  <si>
    <t xml:space="preserve">MG </t>
  </si>
  <si>
    <t>LEVERANDØRKREDITTID</t>
  </si>
  <si>
    <t>Turnover rate of invested capital</t>
  </si>
  <si>
    <t>Operating profit margin after tax</t>
  </si>
  <si>
    <t>Revenues</t>
  </si>
  <si>
    <t>Profittmargin</t>
  </si>
  <si>
    <t>Omløpshastighet på investert capital</t>
  </si>
  <si>
    <t>Omløpshastighet</t>
  </si>
  <si>
    <t>Bundet kapital i dager</t>
  </si>
  <si>
    <t>Profittmargin Miljøgartneriet</t>
  </si>
  <si>
    <t>Profittmargin Skavland</t>
  </si>
  <si>
    <t>Omløpshastighet Miljøgartneriet</t>
  </si>
  <si>
    <t>Omløpshastighet Skavland</t>
  </si>
  <si>
    <t>Miljøgartneriet</t>
  </si>
  <si>
    <t xml:space="preserve">Salgsvekst </t>
  </si>
  <si>
    <t>Bruttomargin i %</t>
  </si>
  <si>
    <t>EBITDA-margin</t>
  </si>
  <si>
    <t>c</t>
  </si>
  <si>
    <t>Salgsvekst</t>
  </si>
  <si>
    <t>Bruttomargin</t>
  </si>
  <si>
    <t>Solbergs gartneri</t>
  </si>
  <si>
    <t>Varkostnad</t>
  </si>
  <si>
    <t>Skavland gartneri</t>
  </si>
  <si>
    <t>EBITDA.margin</t>
  </si>
  <si>
    <t>Bransje</t>
  </si>
  <si>
    <t>Solbergsgartneri</t>
  </si>
  <si>
    <t>Eva= (ROIC-WACC)*Invested capital &gt; 0</t>
  </si>
  <si>
    <t>EVA</t>
  </si>
  <si>
    <t>EV/EBITA</t>
  </si>
  <si>
    <t>Miljløgartneriet multippel</t>
  </si>
  <si>
    <t>Sales</t>
  </si>
  <si>
    <t xml:space="preserve">CAPM </t>
  </si>
  <si>
    <t>Avkastningskrav egenkapital</t>
  </si>
  <si>
    <t>Egenkapital</t>
  </si>
  <si>
    <t>ROIC Skavland Gartneri</t>
  </si>
  <si>
    <t>18-22</t>
  </si>
  <si>
    <t>ITERASJON</t>
  </si>
  <si>
    <t>CAPM EK</t>
  </si>
  <si>
    <t>Gjeld kostnad</t>
  </si>
  <si>
    <t>Ny verdi EK</t>
  </si>
  <si>
    <t>Basis</t>
  </si>
  <si>
    <t>Absolutte verdier i TNOK</t>
  </si>
  <si>
    <t>Styrker</t>
  </si>
  <si>
    <t>Svakheter</t>
  </si>
  <si>
    <t>Muligheter</t>
  </si>
  <si>
    <t>Trusler</t>
  </si>
  <si>
    <t>Operasjonelle anleggsmidler IB</t>
  </si>
  <si>
    <t>Avskrivninger inneværende år</t>
  </si>
  <si>
    <t>Sammenlignbare selskap</t>
  </si>
  <si>
    <t>Village farms (Canada)</t>
  </si>
  <si>
    <t>United Malacca (Malaysia)</t>
  </si>
  <si>
    <t>Scotts-Miracle-Group (USA)</t>
  </si>
  <si>
    <t>Cadiz Incorporation (USA)</t>
  </si>
  <si>
    <t>Calavo Growers Inc. (USA)</t>
  </si>
  <si>
    <t>Archer-Daniels-Midland Inc. (USA)</t>
  </si>
  <si>
    <t>Al Gassim Investment Holding (Saudi-Arabia)</t>
  </si>
  <si>
    <t>Limoneira Corporation (USA)</t>
  </si>
  <si>
    <t>Produksjon av bærekraftig drivhustbaserte grønnsaker</t>
  </si>
  <si>
    <t>Dyrking og produksjon av palmeolje</t>
  </si>
  <si>
    <t>Produksjon av hage- og plantepleieprodukt</t>
  </si>
  <si>
    <t>Dyrking og distribusjon av frukt og grønt</t>
  </si>
  <si>
    <t>Produksjon av landbruksprodukter</t>
  </si>
  <si>
    <t>BLD Plantation (Malaysia)</t>
  </si>
  <si>
    <t>Produksjon av palmeolje</t>
  </si>
  <si>
    <t>Investering i gartnerbransjen</t>
  </si>
  <si>
    <t>Satsningsområde</t>
  </si>
  <si>
    <t>Salg og produksjon av sitrusprodukter</t>
  </si>
  <si>
    <t>Investert kapital (NOA)</t>
  </si>
  <si>
    <t>- Skyldig offentlig avgifter</t>
  </si>
  <si>
    <t>- Betalbar skatt</t>
  </si>
  <si>
    <t>- Annen kortsiktig gjeld</t>
  </si>
  <si>
    <t>Arbeidskapital og investert kapital</t>
  </si>
  <si>
    <t>- Leverandørgjeld</t>
  </si>
  <si>
    <t>s</t>
  </si>
  <si>
    <t xml:space="preserve">- Merkevare </t>
  </si>
  <si>
    <t xml:space="preserve">- Kunderelasjon </t>
  </si>
  <si>
    <t xml:space="preserve">- Anlegg </t>
  </si>
  <si>
    <t>-Teknologiutvikling med miljøhensyn</t>
  </si>
  <si>
    <t xml:space="preserve">- Økt etterspørsel etter bærekraftige produkter </t>
  </si>
  <si>
    <t xml:space="preserve"> - Økt etterspørsel i bransjen </t>
  </si>
  <si>
    <t xml:space="preserve">- Produksjonsstants hos konkurrenter </t>
  </si>
  <si>
    <t xml:space="preserve"> </t>
  </si>
  <si>
    <t xml:space="preserve">- Import </t>
  </si>
  <si>
    <t xml:space="preserve">- Energipriser </t>
  </si>
  <si>
    <t>-Høy rente og inflasjon -&gt; Redusert kjøpekraft</t>
  </si>
  <si>
    <t>- Kundenes forhandlingmakt</t>
  </si>
  <si>
    <t>- Høy konkurranseintensitet</t>
  </si>
  <si>
    <t xml:space="preserve">- Manglende visjon </t>
  </si>
  <si>
    <t xml:space="preserve">- CO2 avgift </t>
  </si>
  <si>
    <t xml:space="preserve">Iterasjon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</si>
</sst>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kr&quot;\ #,##0.00_);[Red]\(&quot;kr&quot;\ #,##0.00\)"/>
    <numFmt numFmtId="165" formatCode="&quot;kr&quot;\ #,##0"/>
    <numFmt numFmtId="166" formatCode="0.000"/>
    <numFmt numFmtId="167" formatCode="0.0"/>
    <numFmt numFmtId="168" formatCode="0.0%"/>
    <numFmt numFmtId="169" formatCode="0.0000"/>
    <numFmt numFmtId="170" formatCode="0.0\ %"/>
    <numFmt numFmtId="171" formatCode="#,##0.0"/>
    <numFmt numFmtId="172" formatCode="#,##0.000"/>
    <numFmt numFmtId="173" formatCode="#,##0.0000"/>
    <numFmt numFmtId="174" formatCode="0.000\ %"/>
    <numFmt numFmtId="175" formatCode="0.00000"/>
    <numFmt numFmtId="176" formatCode="#,##0.00000"/>
    <numFmt numFmtId="177" formatCode="0.00000\ %"/>
  </numFmts>
  <fonts count="4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 (Brødtekst)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/>
      <name val="Roboto"/>
      <family val="2"/>
      <charset val="1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333333"/>
      <name val="Roboto"/>
      <charset val="1"/>
    </font>
    <font>
      <sz val="11"/>
      <color rgb="FFFF0000"/>
      <name val="Calibri"/>
      <family val="2"/>
      <scheme val="minor"/>
    </font>
    <font>
      <sz val="11"/>
      <color rgb="FF000000"/>
      <name val="Roboto"/>
      <charset val="1"/>
    </font>
    <font>
      <sz val="11"/>
      <color rgb="FF333333"/>
      <name val="Roboto"/>
      <charset val="1"/>
    </font>
    <font>
      <sz val="2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Roboto"/>
      <charset val="1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4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Roboto"/>
      <charset val="1"/>
    </font>
    <font>
      <sz val="12"/>
      <color theme="1"/>
      <name val="Roboto"/>
      <charset val="1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2F2F2"/>
      </top>
      <bottom style="thin">
        <color auto="1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4">
    <xf numFmtId="0" fontId="0" fillId="0" borderId="0" xfId="0"/>
    <xf numFmtId="2" fontId="0" fillId="0" borderId="0" xfId="0" applyNumberFormat="1"/>
    <xf numFmtId="166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4" xfId="0" applyFont="1" applyBorder="1"/>
    <xf numFmtId="167" fontId="0" fillId="0" borderId="0" xfId="0" applyNumberFormat="1"/>
    <xf numFmtId="167" fontId="5" fillId="0" borderId="4" xfId="0" applyNumberFormat="1" applyFont="1" applyBorder="1"/>
    <xf numFmtId="0" fontId="5" fillId="0" borderId="5" xfId="0" applyFont="1" applyBorder="1"/>
    <xf numFmtId="0" fontId="6" fillId="0" borderId="1" xfId="0" applyFont="1" applyBorder="1"/>
    <xf numFmtId="9" fontId="0" fillId="0" borderId="1" xfId="1" applyFont="1" applyBorder="1"/>
    <xf numFmtId="0" fontId="5" fillId="0" borderId="0" xfId="0" applyFont="1"/>
    <xf numFmtId="0" fontId="6" fillId="0" borderId="4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5" fillId="0" borderId="14" xfId="0" applyFont="1" applyBorder="1"/>
    <xf numFmtId="1" fontId="0" fillId="0" borderId="0" xfId="0" applyNumberFormat="1"/>
    <xf numFmtId="1" fontId="5" fillId="0" borderId="4" xfId="0" applyNumberFormat="1" applyFont="1" applyBorder="1"/>
    <xf numFmtId="167" fontId="0" fillId="0" borderId="1" xfId="0" applyNumberFormat="1" applyBorder="1"/>
    <xf numFmtId="0" fontId="5" fillId="0" borderId="1" xfId="0" applyFont="1" applyBorder="1"/>
    <xf numFmtId="10" fontId="5" fillId="0" borderId="1" xfId="0" applyNumberFormat="1" applyFont="1" applyBorder="1"/>
    <xf numFmtId="0" fontId="0" fillId="0" borderId="0" xfId="0" applyAlignment="1">
      <alignment horizontal="center"/>
    </xf>
    <xf numFmtId="0" fontId="5" fillId="2" borderId="5" xfId="0" applyFont="1" applyFill="1" applyBorder="1"/>
    <xf numFmtId="0" fontId="8" fillId="2" borderId="4" xfId="0" applyFont="1" applyFill="1" applyBorder="1"/>
    <xf numFmtId="9" fontId="5" fillId="2" borderId="4" xfId="1" applyFont="1" applyFill="1" applyBorder="1"/>
    <xf numFmtId="0" fontId="5" fillId="2" borderId="4" xfId="0" applyFont="1" applyFill="1" applyBorder="1"/>
    <xf numFmtId="167" fontId="5" fillId="2" borderId="4" xfId="0" applyNumberFormat="1" applyFont="1" applyFill="1" applyBorder="1"/>
    <xf numFmtId="0" fontId="8" fillId="2" borderId="0" xfId="0" applyFont="1" applyFill="1"/>
    <xf numFmtId="9" fontId="5" fillId="2" borderId="0" xfId="1" applyFont="1" applyFill="1" applyBorder="1"/>
    <xf numFmtId="9" fontId="0" fillId="0" borderId="0" xfId="1" applyFont="1"/>
    <xf numFmtId="0" fontId="0" fillId="0" borderId="5" xfId="0" applyBorder="1"/>
    <xf numFmtId="167" fontId="5" fillId="0" borderId="3" xfId="0" applyNumberFormat="1" applyFont="1" applyBorder="1"/>
    <xf numFmtId="0" fontId="0" fillId="2" borderId="0" xfId="0" applyFill="1"/>
    <xf numFmtId="9" fontId="0" fillId="2" borderId="0" xfId="1" applyFont="1" applyFill="1"/>
    <xf numFmtId="0" fontId="0" fillId="0" borderId="4" xfId="0" applyBorder="1"/>
    <xf numFmtId="1" fontId="5" fillId="0" borderId="5" xfId="0" applyNumberFormat="1" applyFont="1" applyBorder="1"/>
    <xf numFmtId="1" fontId="0" fillId="0" borderId="1" xfId="0" applyNumberFormat="1" applyBorder="1"/>
    <xf numFmtId="10" fontId="0" fillId="0" borderId="1" xfId="1" applyNumberFormat="1" applyFont="1" applyBorder="1"/>
    <xf numFmtId="10" fontId="5" fillId="0" borderId="1" xfId="1" applyNumberFormat="1" applyFont="1" applyBorder="1"/>
    <xf numFmtId="0" fontId="12" fillId="0" borderId="0" xfId="0" applyFont="1" applyAlignment="1">
      <alignment horizontal="center"/>
    </xf>
    <xf numFmtId="0" fontId="0" fillId="3" borderId="0" xfId="0" applyFill="1"/>
    <xf numFmtId="0" fontId="5" fillId="3" borderId="0" xfId="0" applyFont="1" applyFill="1"/>
    <xf numFmtId="0" fontId="5" fillId="3" borderId="15" xfId="0" applyFont="1" applyFill="1" applyBorder="1"/>
    <xf numFmtId="2" fontId="0" fillId="0" borderId="15" xfId="0" applyNumberFormat="1" applyBorder="1"/>
    <xf numFmtId="2" fontId="5" fillId="0" borderId="15" xfId="0" applyNumberFormat="1" applyFont="1" applyBorder="1"/>
    <xf numFmtId="0" fontId="0" fillId="4" borderId="0" xfId="0" applyFill="1"/>
    <xf numFmtId="1" fontId="5" fillId="0" borderId="15" xfId="0" applyNumberFormat="1" applyFont="1" applyBorder="1"/>
    <xf numFmtId="0" fontId="10" fillId="3" borderId="15" xfId="0" applyFont="1" applyFill="1" applyBorder="1"/>
    <xf numFmtId="2" fontId="0" fillId="5" borderId="0" xfId="0" applyNumberFormat="1" applyFill="1"/>
    <xf numFmtId="0" fontId="12" fillId="0" borderId="0" xfId="0" applyFont="1"/>
    <xf numFmtId="166" fontId="0" fillId="0" borderId="15" xfId="0" applyNumberFormat="1" applyBorder="1"/>
    <xf numFmtId="166" fontId="0" fillId="5" borderId="0" xfId="0" applyNumberFormat="1" applyFill="1"/>
    <xf numFmtId="2" fontId="5" fillId="0" borderId="1" xfId="1" applyNumberFormat="1" applyFont="1" applyBorder="1"/>
    <xf numFmtId="2" fontId="0" fillId="0" borderId="1" xfId="0" applyNumberFormat="1" applyBorder="1"/>
    <xf numFmtId="10" fontId="0" fillId="0" borderId="0" xfId="0" applyNumberFormat="1"/>
    <xf numFmtId="10" fontId="0" fillId="0" borderId="1" xfId="0" applyNumberFormat="1" applyBorder="1"/>
    <xf numFmtId="0" fontId="0" fillId="6" borderId="1" xfId="0" applyFill="1" applyBorder="1"/>
    <xf numFmtId="0" fontId="0" fillId="0" borderId="16" xfId="0" applyBorder="1"/>
    <xf numFmtId="9" fontId="5" fillId="2" borderId="0" xfId="1" applyFont="1" applyFill="1"/>
    <xf numFmtId="9" fontId="0" fillId="0" borderId="0" xfId="0" applyNumberFormat="1"/>
    <xf numFmtId="1" fontId="0" fillId="2" borderId="0" xfId="0" applyNumberFormat="1" applyFill="1"/>
    <xf numFmtId="2" fontId="5" fillId="0" borderId="4" xfId="0" applyNumberFormat="1" applyFont="1" applyBorder="1"/>
    <xf numFmtId="1" fontId="5" fillId="2" borderId="4" xfId="0" applyNumberFormat="1" applyFont="1" applyFill="1" applyBorder="1"/>
    <xf numFmtId="1" fontId="5" fillId="2" borderId="5" xfId="0" applyNumberFormat="1" applyFont="1" applyFill="1" applyBorder="1"/>
    <xf numFmtId="0" fontId="14" fillId="7" borderId="1" xfId="0" applyFont="1" applyFill="1" applyBorder="1"/>
    <xf numFmtId="0" fontId="4" fillId="6" borderId="1" xfId="0" applyFont="1" applyFill="1" applyBorder="1"/>
    <xf numFmtId="0" fontId="4" fillId="6" borderId="14" xfId="0" applyFont="1" applyFill="1" applyBorder="1"/>
    <xf numFmtId="0" fontId="4" fillId="6" borderId="0" xfId="0" applyFont="1" applyFill="1"/>
    <xf numFmtId="0" fontId="4" fillId="8" borderId="2" xfId="0" applyFont="1" applyFill="1" applyBorder="1"/>
    <xf numFmtId="2" fontId="5" fillId="0" borderId="1" xfId="0" applyNumberFormat="1" applyFont="1" applyBorder="1"/>
    <xf numFmtId="0" fontId="0" fillId="9" borderId="0" xfId="0" applyFill="1"/>
    <xf numFmtId="0" fontId="15" fillId="0" borderId="0" xfId="0" applyFont="1"/>
    <xf numFmtId="0" fontId="16" fillId="0" borderId="1" xfId="0" applyFont="1" applyBorder="1" applyAlignment="1">
      <alignment wrapText="1"/>
    </xf>
    <xf numFmtId="0" fontId="17" fillId="0" borderId="1" xfId="0" applyFont="1" applyBorder="1"/>
    <xf numFmtId="2" fontId="16" fillId="0" borderId="1" xfId="0" applyNumberFormat="1" applyFont="1" applyBorder="1" applyAlignment="1">
      <alignment wrapText="1"/>
    </xf>
    <xf numFmtId="2" fontId="18" fillId="0" borderId="1" xfId="0" applyNumberFormat="1" applyFont="1" applyBorder="1"/>
    <xf numFmtId="2" fontId="0" fillId="0" borderId="4" xfId="0" applyNumberFormat="1" applyBorder="1"/>
    <xf numFmtId="167" fontId="0" fillId="0" borderId="4" xfId="0" applyNumberFormat="1" applyBorder="1"/>
    <xf numFmtId="1" fontId="0" fillId="0" borderId="4" xfId="0" applyNumberFormat="1" applyBorder="1"/>
    <xf numFmtId="0" fontId="5" fillId="10" borderId="0" xfId="0" applyFont="1" applyFill="1"/>
    <xf numFmtId="2" fontId="0" fillId="10" borderId="0" xfId="0" applyNumberFormat="1" applyFill="1"/>
    <xf numFmtId="0" fontId="0" fillId="5" borderId="0" xfId="0" applyFill="1"/>
    <xf numFmtId="10" fontId="0" fillId="5" borderId="0" xfId="0" applyNumberFormat="1" applyFill="1"/>
    <xf numFmtId="9" fontId="5" fillId="9" borderId="4" xfId="1" applyFont="1" applyFill="1" applyBorder="1"/>
    <xf numFmtId="10" fontId="5" fillId="9" borderId="1" xfId="0" applyNumberFormat="1" applyFont="1" applyFill="1" applyBorder="1"/>
    <xf numFmtId="9" fontId="5" fillId="0" borderId="1" xfId="0" applyNumberFormat="1" applyFont="1" applyBorder="1"/>
    <xf numFmtId="0" fontId="0" fillId="9" borderId="0" xfId="0" applyFill="1" applyAlignment="1">
      <alignment horizontal="center"/>
    </xf>
    <xf numFmtId="9" fontId="5" fillId="9" borderId="1" xfId="1" applyFont="1" applyFill="1" applyBorder="1"/>
    <xf numFmtId="0" fontId="0" fillId="0" borderId="17" xfId="0" applyBorder="1"/>
    <xf numFmtId="1" fontId="0" fillId="0" borderId="0" xfId="1" applyNumberFormat="1" applyFont="1"/>
    <xf numFmtId="1" fontId="5" fillId="0" borderId="4" xfId="1" applyNumberFormat="1" applyFont="1" applyBorder="1"/>
    <xf numFmtId="10" fontId="5" fillId="0" borderId="0" xfId="0" applyNumberFormat="1" applyFont="1"/>
    <xf numFmtId="10" fontId="5" fillId="5" borderId="0" xfId="0" applyNumberFormat="1" applyFont="1" applyFill="1"/>
    <xf numFmtId="2" fontId="5" fillId="5" borderId="0" xfId="0" applyNumberFormat="1" applyFont="1" applyFill="1"/>
    <xf numFmtId="0" fontId="19" fillId="4" borderId="18" xfId="0" applyFont="1" applyFill="1" applyBorder="1" applyAlignment="1">
      <alignment wrapText="1"/>
    </xf>
    <xf numFmtId="1" fontId="19" fillId="4" borderId="18" xfId="0" applyNumberFormat="1" applyFont="1" applyFill="1" applyBorder="1" applyAlignment="1">
      <alignment wrapText="1"/>
    </xf>
    <xf numFmtId="1" fontId="0" fillId="2" borderId="0" xfId="1" applyNumberFormat="1" applyFont="1" applyFill="1"/>
    <xf numFmtId="1" fontId="5" fillId="2" borderId="4" xfId="1" applyNumberFormat="1" applyFont="1" applyFill="1" applyBorder="1"/>
    <xf numFmtId="2" fontId="5" fillId="2" borderId="0" xfId="1" applyNumberFormat="1" applyFont="1" applyFill="1"/>
    <xf numFmtId="0" fontId="20" fillId="4" borderId="0" xfId="0" applyFont="1" applyFill="1"/>
    <xf numFmtId="0" fontId="21" fillId="11" borderId="19" xfId="0" applyFont="1" applyFill="1" applyBorder="1" applyAlignment="1">
      <alignment wrapText="1"/>
    </xf>
    <xf numFmtId="0" fontId="22" fillId="12" borderId="19" xfId="0" applyFont="1" applyFill="1" applyBorder="1" applyAlignment="1">
      <alignment wrapText="1"/>
    </xf>
    <xf numFmtId="0" fontId="22" fillId="13" borderId="19" xfId="0" applyFont="1" applyFill="1" applyBorder="1" applyAlignment="1">
      <alignment wrapText="1"/>
    </xf>
    <xf numFmtId="0" fontId="22" fillId="4" borderId="19" xfId="0" applyFont="1" applyFill="1" applyBorder="1" applyAlignment="1">
      <alignment wrapText="1"/>
    </xf>
    <xf numFmtId="1" fontId="5" fillId="0" borderId="0" xfId="0" applyNumberFormat="1" applyFont="1"/>
    <xf numFmtId="0" fontId="23" fillId="6" borderId="0" xfId="0" applyFont="1" applyFill="1"/>
    <xf numFmtId="0" fontId="24" fillId="6" borderId="0" xfId="0" applyFont="1" applyFill="1"/>
    <xf numFmtId="1" fontId="19" fillId="4" borderId="0" xfId="0" applyNumberFormat="1" applyFont="1" applyFill="1" applyAlignment="1">
      <alignment wrapText="1"/>
    </xf>
    <xf numFmtId="0" fontId="4" fillId="4" borderId="0" xfId="0" applyFont="1" applyFill="1"/>
    <xf numFmtId="0" fontId="6" fillId="4" borderId="0" xfId="0" applyFont="1" applyFill="1"/>
    <xf numFmtId="1" fontId="0" fillId="4" borderId="0" xfId="0" applyNumberFormat="1" applyFill="1"/>
    <xf numFmtId="1" fontId="5" fillId="4" borderId="0" xfId="0" applyNumberFormat="1" applyFont="1" applyFill="1"/>
    <xf numFmtId="2" fontId="5" fillId="4" borderId="0" xfId="1" applyNumberFormat="1" applyFont="1" applyFill="1" applyBorder="1"/>
    <xf numFmtId="1" fontId="5" fillId="4" borderId="0" xfId="1" applyNumberFormat="1" applyFont="1" applyFill="1" applyBorder="1"/>
    <xf numFmtId="1" fontId="0" fillId="4" borderId="0" xfId="1" applyNumberFormat="1" applyFont="1" applyFill="1" applyBorder="1"/>
    <xf numFmtId="0" fontId="21" fillId="0" borderId="0" xfId="0" applyFont="1"/>
    <xf numFmtId="0" fontId="22" fillId="0" borderId="0" xfId="0" applyFont="1"/>
    <xf numFmtId="0" fontId="21" fillId="0" borderId="0" xfId="0" quotePrefix="1" applyFont="1"/>
    <xf numFmtId="165" fontId="2" fillId="0" borderId="0" xfId="0" applyNumberFormat="1" applyFont="1"/>
    <xf numFmtId="0" fontId="5" fillId="0" borderId="2" xfId="0" applyFont="1" applyBorder="1"/>
    <xf numFmtId="0" fontId="5" fillId="0" borderId="21" xfId="0" applyFont="1" applyBorder="1"/>
    <xf numFmtId="1" fontId="0" fillId="0" borderId="21" xfId="0" applyNumberFormat="1" applyBorder="1"/>
    <xf numFmtId="0" fontId="5" fillId="14" borderId="21" xfId="0" applyFont="1" applyFill="1" applyBorder="1"/>
    <xf numFmtId="10" fontId="0" fillId="0" borderId="0" xfId="1" applyNumberFormat="1" applyFont="1"/>
    <xf numFmtId="0" fontId="26" fillId="15" borderId="1" xfId="0" applyFont="1" applyFill="1" applyBorder="1"/>
    <xf numFmtId="0" fontId="5" fillId="3" borderId="1" xfId="0" applyFont="1" applyFill="1" applyBorder="1"/>
    <xf numFmtId="0" fontId="26" fillId="15" borderId="21" xfId="0" applyFont="1" applyFill="1" applyBorder="1"/>
    <xf numFmtId="2" fontId="0" fillId="4" borderId="0" xfId="0" applyNumberFormat="1" applyFill="1"/>
    <xf numFmtId="10" fontId="5" fillId="10" borderId="0" xfId="0" applyNumberFormat="1" applyFont="1" applyFill="1"/>
    <xf numFmtId="1" fontId="5" fillId="14" borderId="21" xfId="0" applyNumberFormat="1" applyFont="1" applyFill="1" applyBorder="1"/>
    <xf numFmtId="0" fontId="26" fillId="4" borderId="0" xfId="0" applyFont="1" applyFill="1"/>
    <xf numFmtId="0" fontId="5" fillId="4" borderId="0" xfId="0" applyFont="1" applyFill="1"/>
    <xf numFmtId="2" fontId="5" fillId="4" borderId="0" xfId="0" applyNumberFormat="1" applyFont="1" applyFill="1"/>
    <xf numFmtId="2" fontId="5" fillId="3" borderId="1" xfId="0" applyNumberFormat="1" applyFont="1" applyFill="1" applyBorder="1"/>
    <xf numFmtId="0" fontId="26" fillId="15" borderId="0" xfId="0" applyFont="1" applyFill="1"/>
    <xf numFmtId="0" fontId="5" fillId="4" borderId="24" xfId="0" applyFont="1" applyFill="1" applyBorder="1"/>
    <xf numFmtId="1" fontId="0" fillId="4" borderId="24" xfId="0" applyNumberFormat="1" applyFill="1" applyBorder="1"/>
    <xf numFmtId="2" fontId="0" fillId="4" borderId="24" xfId="0" applyNumberFormat="1" applyFill="1" applyBorder="1"/>
    <xf numFmtId="0" fontId="0" fillId="4" borderId="24" xfId="0" applyFill="1" applyBorder="1"/>
    <xf numFmtId="0" fontId="0" fillId="0" borderId="24" xfId="0" applyBorder="1"/>
    <xf numFmtId="0" fontId="0" fillId="6" borderId="7" xfId="0" applyFill="1" applyBorder="1"/>
    <xf numFmtId="0" fontId="0" fillId="6" borderId="8" xfId="0" applyFill="1" applyBorder="1"/>
    <xf numFmtId="0" fontId="0" fillId="6" borderId="13" xfId="0" applyFill="1" applyBorder="1"/>
    <xf numFmtId="0" fontId="0" fillId="6" borderId="31" xfId="0" applyFill="1" applyBorder="1"/>
    <xf numFmtId="0" fontId="26" fillId="15" borderId="32" xfId="0" applyFont="1" applyFill="1" applyBorder="1"/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6" fillId="15" borderId="24" xfId="0" applyFont="1" applyFill="1" applyBorder="1"/>
    <xf numFmtId="0" fontId="26" fillId="15" borderId="23" xfId="0" applyFont="1" applyFill="1" applyBorder="1"/>
    <xf numFmtId="0" fontId="25" fillId="15" borderId="23" xfId="0" applyFont="1" applyFill="1" applyBorder="1"/>
    <xf numFmtId="1" fontId="0" fillId="4" borderId="26" xfId="0" applyNumberFormat="1" applyFill="1" applyBorder="1"/>
    <xf numFmtId="1" fontId="0" fillId="4" borderId="22" xfId="0" applyNumberFormat="1" applyFill="1" applyBorder="1"/>
    <xf numFmtId="2" fontId="5" fillId="10" borderId="0" xfId="0" applyNumberFormat="1" applyFont="1" applyFill="1"/>
    <xf numFmtId="0" fontId="0" fillId="16" borderId="0" xfId="0" applyFill="1"/>
    <xf numFmtId="10" fontId="0" fillId="0" borderId="0" xfId="1" applyNumberFormat="1" applyFont="1" applyBorder="1"/>
    <xf numFmtId="0" fontId="27" fillId="4" borderId="18" xfId="0" applyFont="1" applyFill="1" applyBorder="1" applyAlignment="1">
      <alignment wrapText="1"/>
    </xf>
    <xf numFmtId="0" fontId="27" fillId="0" borderId="0" xfId="0" applyFont="1"/>
    <xf numFmtId="0" fontId="28" fillId="3" borderId="0" xfId="0" applyFont="1" applyFill="1"/>
    <xf numFmtId="0" fontId="28" fillId="0" borderId="0" xfId="0" applyFont="1"/>
    <xf numFmtId="0" fontId="29" fillId="3" borderId="15" xfId="0" applyFont="1" applyFill="1" applyBorder="1"/>
    <xf numFmtId="166" fontId="28" fillId="5" borderId="0" xfId="0" applyNumberFormat="1" applyFont="1" applyFill="1"/>
    <xf numFmtId="0" fontId="30" fillId="4" borderId="18" xfId="0" applyFont="1" applyFill="1" applyBorder="1" applyAlignment="1">
      <alignment wrapText="1"/>
    </xf>
    <xf numFmtId="0" fontId="30" fillId="0" borderId="0" xfId="0" applyFont="1"/>
    <xf numFmtId="0" fontId="28" fillId="0" borderId="0" xfId="0" applyFont="1" applyAlignment="1">
      <alignment horizontal="center"/>
    </xf>
    <xf numFmtId="2" fontId="28" fillId="0" borderId="15" xfId="0" applyNumberFormat="1" applyFont="1" applyBorder="1"/>
    <xf numFmtId="2" fontId="28" fillId="5" borderId="0" xfId="0" applyNumberFormat="1" applyFont="1" applyFill="1"/>
    <xf numFmtId="2" fontId="0" fillId="4" borderId="29" xfId="0" applyNumberFormat="1" applyFill="1" applyBorder="1"/>
    <xf numFmtId="2" fontId="0" fillId="4" borderId="30" xfId="0" applyNumberFormat="1" applyFill="1" applyBorder="1"/>
    <xf numFmtId="0" fontId="26" fillId="15" borderId="30" xfId="0" applyFont="1" applyFill="1" applyBorder="1"/>
    <xf numFmtId="168" fontId="0" fillId="4" borderId="0" xfId="0" applyNumberFormat="1" applyFill="1"/>
    <xf numFmtId="168" fontId="0" fillId="4" borderId="24" xfId="0" applyNumberFormat="1" applyFill="1" applyBorder="1"/>
    <xf numFmtId="0" fontId="0" fillId="4" borderId="28" xfId="0" applyFill="1" applyBorder="1"/>
    <xf numFmtId="0" fontId="0" fillId="0" borderId="27" xfId="0" applyBorder="1"/>
    <xf numFmtId="168" fontId="0" fillId="4" borderId="28" xfId="0" applyNumberFormat="1" applyFill="1" applyBorder="1"/>
    <xf numFmtId="168" fontId="0" fillId="4" borderId="27" xfId="0" applyNumberFormat="1" applyFill="1" applyBorder="1"/>
    <xf numFmtId="0" fontId="0" fillId="4" borderId="27" xfId="0" applyFill="1" applyBorder="1"/>
    <xf numFmtId="0" fontId="26" fillId="15" borderId="28" xfId="0" applyFont="1" applyFill="1" applyBorder="1"/>
    <xf numFmtId="0" fontId="0" fillId="0" borderId="20" xfId="0" applyBorder="1"/>
    <xf numFmtId="0" fontId="0" fillId="0" borderId="33" xfId="0" applyBorder="1"/>
    <xf numFmtId="0" fontId="5" fillId="0" borderId="20" xfId="0" applyFont="1" applyBorder="1"/>
    <xf numFmtId="0" fontId="5" fillId="0" borderId="33" xfId="0" applyFont="1" applyBorder="1"/>
    <xf numFmtId="0" fontId="5" fillId="0" borderId="25" xfId="0" applyFont="1" applyBorder="1"/>
    <xf numFmtId="0" fontId="0" fillId="0" borderId="26" xfId="0" applyBorder="1"/>
    <xf numFmtId="0" fontId="0" fillId="0" borderId="25" xfId="0" applyBorder="1"/>
    <xf numFmtId="169" fontId="0" fillId="0" borderId="0" xfId="0" applyNumberFormat="1"/>
    <xf numFmtId="0" fontId="0" fillId="0" borderId="29" xfId="0" applyBorder="1"/>
    <xf numFmtId="0" fontId="0" fillId="0" borderId="34" xfId="0" applyBorder="1"/>
    <xf numFmtId="0" fontId="5" fillId="0" borderId="29" xfId="0" applyFont="1" applyBorder="1"/>
    <xf numFmtId="2" fontId="5" fillId="0" borderId="0" xfId="0" applyNumberFormat="1" applyFont="1"/>
    <xf numFmtId="0" fontId="14" fillId="17" borderId="0" xfId="0" applyFont="1" applyFill="1" applyAlignment="1">
      <alignment horizontal="right"/>
    </xf>
    <xf numFmtId="10" fontId="0" fillId="18" borderId="0" xfId="0" applyNumberFormat="1" applyFill="1"/>
    <xf numFmtId="2" fontId="0" fillId="0" borderId="0" xfId="1" applyNumberFormat="1" applyFont="1"/>
    <xf numFmtId="0" fontId="0" fillId="0" borderId="37" xfId="0" applyBorder="1"/>
    <xf numFmtId="170" fontId="0" fillId="0" borderId="37" xfId="1" applyNumberFormat="1" applyFont="1" applyBorder="1"/>
    <xf numFmtId="0" fontId="0" fillId="19" borderId="0" xfId="0" applyFill="1"/>
    <xf numFmtId="166" fontId="5" fillId="0" borderId="10" xfId="0" applyNumberFormat="1" applyFont="1" applyBorder="1"/>
    <xf numFmtId="0" fontId="26" fillId="15" borderId="27" xfId="0" applyFont="1" applyFill="1" applyBorder="1"/>
    <xf numFmtId="0" fontId="26" fillId="15" borderId="36" xfId="0" applyFont="1" applyFill="1" applyBorder="1"/>
    <xf numFmtId="0" fontId="31" fillId="4" borderId="36" xfId="0" applyFont="1" applyFill="1" applyBorder="1"/>
    <xf numFmtId="0" fontId="31" fillId="4" borderId="24" xfId="0" applyFont="1" applyFill="1" applyBorder="1"/>
    <xf numFmtId="2" fontId="31" fillId="4" borderId="35" xfId="0" applyNumberFormat="1" applyFont="1" applyFill="1" applyBorder="1"/>
    <xf numFmtId="0" fontId="31" fillId="4" borderId="35" xfId="0" applyFont="1" applyFill="1" applyBorder="1"/>
    <xf numFmtId="0" fontId="31" fillId="4" borderId="28" xfId="0" applyFont="1" applyFill="1" applyBorder="1"/>
    <xf numFmtId="2" fontId="31" fillId="4" borderId="36" xfId="0" applyNumberFormat="1" applyFont="1" applyFill="1" applyBorder="1"/>
    <xf numFmtId="2" fontId="0" fillId="4" borderId="28" xfId="0" applyNumberFormat="1" applyFill="1" applyBorder="1"/>
    <xf numFmtId="2" fontId="0" fillId="4" borderId="27" xfId="0" applyNumberFormat="1" applyFill="1" applyBorder="1"/>
    <xf numFmtId="0" fontId="25" fillId="15" borderId="28" xfId="0" applyFont="1" applyFill="1" applyBorder="1"/>
    <xf numFmtId="0" fontId="25" fillId="15" borderId="27" xfId="0" applyFont="1" applyFill="1" applyBorder="1"/>
    <xf numFmtId="0" fontId="25" fillId="15" borderId="36" xfId="0" applyFont="1" applyFill="1" applyBorder="1"/>
    <xf numFmtId="2" fontId="0" fillId="4" borderId="35" xfId="0" applyNumberFormat="1" applyFill="1" applyBorder="1"/>
    <xf numFmtId="2" fontId="0" fillId="4" borderId="36" xfId="0" applyNumberFormat="1" applyFill="1" applyBorder="1"/>
    <xf numFmtId="167" fontId="26" fillId="15" borderId="0" xfId="0" applyNumberFormat="1" applyFont="1" applyFill="1"/>
    <xf numFmtId="166" fontId="0" fillId="4" borderId="27" xfId="0" applyNumberFormat="1" applyFill="1" applyBorder="1"/>
    <xf numFmtId="166" fontId="0" fillId="4" borderId="0" xfId="0" applyNumberFormat="1" applyFill="1"/>
    <xf numFmtId="166" fontId="5" fillId="4" borderId="0" xfId="0" applyNumberFormat="1" applyFont="1" applyFill="1"/>
    <xf numFmtId="166" fontId="5" fillId="4" borderId="20" xfId="0" applyNumberFormat="1" applyFont="1" applyFill="1" applyBorder="1"/>
    <xf numFmtId="166" fontId="5" fillId="4" borderId="27" xfId="0" applyNumberFormat="1" applyFont="1" applyFill="1" applyBorder="1"/>
    <xf numFmtId="166" fontId="5" fillId="4" borderId="33" xfId="0" applyNumberFormat="1" applyFont="1" applyFill="1" applyBorder="1"/>
    <xf numFmtId="0" fontId="26" fillId="15" borderId="20" xfId="0" applyFont="1" applyFill="1" applyBorder="1"/>
    <xf numFmtId="0" fontId="26" fillId="15" borderId="33" xfId="0" applyFont="1" applyFill="1" applyBorder="1"/>
    <xf numFmtId="2" fontId="32" fillId="15" borderId="0" xfId="0" applyNumberFormat="1" applyFont="1" applyFill="1"/>
    <xf numFmtId="0" fontId="5" fillId="9" borderId="0" xfId="0" applyFont="1" applyFill="1"/>
    <xf numFmtId="0" fontId="5" fillId="9" borderId="4" xfId="0" applyFont="1" applyFill="1" applyBorder="1"/>
    <xf numFmtId="10" fontId="0" fillId="9" borderId="0" xfId="0" applyNumberFormat="1" applyFill="1"/>
    <xf numFmtId="0" fontId="5" fillId="0" borderId="38" xfId="0" applyFont="1" applyBorder="1"/>
    <xf numFmtId="1" fontId="5" fillId="0" borderId="38" xfId="0" applyNumberFormat="1" applyFont="1" applyBorder="1"/>
    <xf numFmtId="0" fontId="0" fillId="6" borderId="0" xfId="0" applyFill="1"/>
    <xf numFmtId="9" fontId="0" fillId="9" borderId="0" xfId="1" applyFont="1" applyFill="1"/>
    <xf numFmtId="1" fontId="5" fillId="9" borderId="0" xfId="0" applyNumberFormat="1" applyFont="1" applyFill="1"/>
    <xf numFmtId="10" fontId="0" fillId="9" borderId="0" xfId="1" applyNumberFormat="1" applyFont="1" applyFill="1"/>
    <xf numFmtId="1" fontId="5" fillId="9" borderId="4" xfId="0" applyNumberFormat="1" applyFont="1" applyFill="1" applyBorder="1"/>
    <xf numFmtId="167" fontId="5" fillId="9" borderId="4" xfId="0" applyNumberFormat="1" applyFont="1" applyFill="1" applyBorder="1"/>
    <xf numFmtId="167" fontId="5" fillId="6" borderId="4" xfId="0" applyNumberFormat="1" applyFont="1" applyFill="1" applyBorder="1"/>
    <xf numFmtId="10" fontId="5" fillId="9" borderId="16" xfId="0" applyNumberFormat="1" applyFont="1" applyFill="1" applyBorder="1"/>
    <xf numFmtId="0" fontId="6" fillId="10" borderId="0" xfId="0" applyFont="1" applyFill="1"/>
    <xf numFmtId="10" fontId="5" fillId="2" borderId="0" xfId="1" applyNumberFormat="1" applyFont="1" applyFill="1" applyBorder="1"/>
    <xf numFmtId="0" fontId="20" fillId="0" borderId="0" xfId="0" applyFont="1"/>
    <xf numFmtId="0" fontId="33" fillId="0" borderId="0" xfId="0" applyFont="1"/>
    <xf numFmtId="1" fontId="20" fillId="0" borderId="0" xfId="0" applyNumberFormat="1" applyFont="1"/>
    <xf numFmtId="0" fontId="33" fillId="0" borderId="4" xfId="0" applyFont="1" applyBorder="1"/>
    <xf numFmtId="1" fontId="33" fillId="0" borderId="4" xfId="0" applyNumberFormat="1" applyFont="1" applyBorder="1"/>
    <xf numFmtId="0" fontId="0" fillId="0" borderId="7" xfId="0" applyBorder="1"/>
    <xf numFmtId="0" fontId="0" fillId="9" borderId="5" xfId="0" applyFill="1" applyBorder="1"/>
    <xf numFmtId="0" fontId="0" fillId="9" borderId="8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34" fillId="0" borderId="0" xfId="0" applyFont="1"/>
    <xf numFmtId="1" fontId="0" fillId="0" borderId="31" xfId="0" applyNumberFormat="1" applyBorder="1"/>
    <xf numFmtId="170" fontId="0" fillId="0" borderId="0" xfId="1" applyNumberFormat="1" applyFont="1" applyFill="1" applyBorder="1"/>
    <xf numFmtId="0" fontId="14" fillId="0" borderId="0" xfId="0" applyFont="1"/>
    <xf numFmtId="170" fontId="5" fillId="0" borderId="0" xfId="1" applyNumberFormat="1" applyFont="1" applyFill="1" applyBorder="1"/>
    <xf numFmtId="9" fontId="5" fillId="0" borderId="0" xfId="1" applyFont="1" applyFill="1" applyBorder="1"/>
    <xf numFmtId="1" fontId="0" fillId="0" borderId="0" xfId="1" applyNumberFormat="1" applyFont="1" applyFill="1" applyBorder="1"/>
    <xf numFmtId="4" fontId="0" fillId="0" borderId="0" xfId="0" applyNumberFormat="1"/>
    <xf numFmtId="3" fontId="0" fillId="0" borderId="0" xfId="0" applyNumberFormat="1"/>
    <xf numFmtId="0" fontId="6" fillId="10" borderId="7" xfId="0" applyFont="1" applyFill="1" applyBorder="1"/>
    <xf numFmtId="0" fontId="5" fillId="10" borderId="5" xfId="0" applyFont="1" applyFill="1" applyBorder="1"/>
    <xf numFmtId="0" fontId="5" fillId="10" borderId="8" xfId="0" applyFont="1" applyFill="1" applyBorder="1"/>
    <xf numFmtId="9" fontId="0" fillId="0" borderId="0" xfId="1" applyFont="1" applyBorder="1"/>
    <xf numFmtId="9" fontId="0" fillId="0" borderId="12" xfId="1" applyFont="1" applyBorder="1"/>
    <xf numFmtId="10" fontId="0" fillId="0" borderId="12" xfId="0" applyNumberFormat="1" applyBorder="1"/>
    <xf numFmtId="10" fontId="0" fillId="0" borderId="2" xfId="0" applyNumberFormat="1" applyBorder="1"/>
    <xf numFmtId="0" fontId="0" fillId="0" borderId="31" xfId="0" applyBorder="1"/>
    <xf numFmtId="0" fontId="5" fillId="9" borderId="7" xfId="0" applyFont="1" applyFill="1" applyBorder="1"/>
    <xf numFmtId="0" fontId="5" fillId="9" borderId="8" xfId="0" applyFont="1" applyFill="1" applyBorder="1"/>
    <xf numFmtId="2" fontId="5" fillId="10" borderId="4" xfId="0" applyNumberFormat="1" applyFont="1" applyFill="1" applyBorder="1"/>
    <xf numFmtId="1" fontId="5" fillId="10" borderId="4" xfId="0" applyNumberFormat="1" applyFont="1" applyFill="1" applyBorder="1"/>
    <xf numFmtId="10" fontId="0" fillId="6" borderId="0" xfId="0" applyNumberFormat="1" applyFill="1"/>
    <xf numFmtId="1" fontId="0" fillId="6" borderId="0" xfId="0" applyNumberFormat="1" applyFill="1"/>
    <xf numFmtId="0" fontId="0" fillId="0" borderId="39" xfId="0" applyBorder="1"/>
    <xf numFmtId="1" fontId="0" fillId="6" borderId="2" xfId="0" applyNumberFormat="1" applyFill="1" applyBorder="1"/>
    <xf numFmtId="10" fontId="0" fillId="6" borderId="11" xfId="0" applyNumberFormat="1" applyFill="1" applyBorder="1"/>
    <xf numFmtId="1" fontId="0" fillId="6" borderId="13" xfId="0" applyNumberFormat="1" applyFill="1" applyBorder="1"/>
    <xf numFmtId="0" fontId="0" fillId="6" borderId="11" xfId="0" applyFill="1" applyBorder="1"/>
    <xf numFmtId="1" fontId="0" fillId="6" borderId="37" xfId="0" applyNumberFormat="1" applyFill="1" applyBorder="1"/>
    <xf numFmtId="10" fontId="5" fillId="6" borderId="13" xfId="0" applyNumberFormat="1" applyFont="1" applyFill="1" applyBorder="1"/>
    <xf numFmtId="10" fontId="5" fillId="6" borderId="2" xfId="0" applyNumberFormat="1" applyFont="1" applyFill="1" applyBorder="1"/>
    <xf numFmtId="10" fontId="5" fillId="6" borderId="37" xfId="0" applyNumberFormat="1" applyFont="1" applyFill="1" applyBorder="1"/>
    <xf numFmtId="1" fontId="5" fillId="6" borderId="0" xfId="0" applyNumberFormat="1" applyFont="1" applyFill="1"/>
    <xf numFmtId="1" fontId="0" fillId="6" borderId="31" xfId="0" applyNumberFormat="1" applyFill="1" applyBorder="1"/>
    <xf numFmtId="1" fontId="5" fillId="6" borderId="16" xfId="0" applyNumberFormat="1" applyFont="1" applyFill="1" applyBorder="1"/>
    <xf numFmtId="1" fontId="5" fillId="6" borderId="7" xfId="0" applyNumberFormat="1" applyFont="1" applyFill="1" applyBorder="1"/>
    <xf numFmtId="0" fontId="34" fillId="20" borderId="17" xfId="0" applyFont="1" applyFill="1" applyBorder="1"/>
    <xf numFmtId="0" fontId="34" fillId="20" borderId="11" xfId="0" applyFont="1" applyFill="1" applyBorder="1"/>
    <xf numFmtId="0" fontId="34" fillId="20" borderId="13" xfId="0" applyFont="1" applyFill="1" applyBorder="1"/>
    <xf numFmtId="0" fontId="34" fillId="20" borderId="2" xfId="0" applyFont="1" applyFill="1" applyBorder="1"/>
    <xf numFmtId="0" fontId="34" fillId="20" borderId="1" xfId="0" applyFont="1" applyFill="1" applyBorder="1"/>
    <xf numFmtId="0" fontId="35" fillId="0" borderId="0" xfId="0" applyFont="1"/>
    <xf numFmtId="1" fontId="0" fillId="0" borderId="5" xfId="0" applyNumberFormat="1" applyBorder="1"/>
    <xf numFmtId="1" fontId="0" fillId="0" borderId="8" xfId="0" applyNumberFormat="1" applyBorder="1"/>
    <xf numFmtId="0" fontId="5" fillId="0" borderId="7" xfId="0" applyFont="1" applyBorder="1"/>
    <xf numFmtId="0" fontId="5" fillId="0" borderId="11" xfId="0" applyFont="1" applyBorder="1"/>
    <xf numFmtId="0" fontId="5" fillId="0" borderId="13" xfId="0" applyFont="1" applyBorder="1"/>
    <xf numFmtId="0" fontId="6" fillId="10" borderId="5" xfId="0" applyFont="1" applyFill="1" applyBorder="1"/>
    <xf numFmtId="0" fontId="6" fillId="10" borderId="8" xfId="0" applyFont="1" applyFill="1" applyBorder="1"/>
    <xf numFmtId="0" fontId="0" fillId="0" borderId="8" xfId="0" applyBorder="1"/>
    <xf numFmtId="0" fontId="0" fillId="10" borderId="8" xfId="0" applyFill="1" applyBorder="1"/>
    <xf numFmtId="4" fontId="0" fillId="0" borderId="13" xfId="0" applyNumberFormat="1" applyBorder="1"/>
    <xf numFmtId="4" fontId="0" fillId="0" borderId="31" xfId="0" applyNumberFormat="1" applyBorder="1"/>
    <xf numFmtId="4" fontId="0" fillId="0" borderId="7" xfId="0" applyNumberFormat="1" applyBorder="1"/>
    <xf numFmtId="4" fontId="5" fillId="0" borderId="7" xfId="0" applyNumberFormat="1" applyFont="1" applyBorder="1"/>
    <xf numFmtId="4" fontId="5" fillId="0" borderId="13" xfId="0" applyNumberFormat="1" applyFont="1" applyBorder="1"/>
    <xf numFmtId="3" fontId="0" fillId="0" borderId="8" xfId="0" applyNumberFormat="1" applyBorder="1"/>
    <xf numFmtId="4" fontId="0" fillId="0" borderId="11" xfId="0" applyNumberFormat="1" applyBorder="1"/>
    <xf numFmtId="3" fontId="0" fillId="0" borderId="12" xfId="0" applyNumberFormat="1" applyBorder="1"/>
    <xf numFmtId="3" fontId="0" fillId="0" borderId="31" xfId="0" applyNumberFormat="1" applyBorder="1"/>
    <xf numFmtId="4" fontId="0" fillId="0" borderId="5" xfId="0" applyNumberFormat="1" applyBorder="1"/>
    <xf numFmtId="4" fontId="0" fillId="0" borderId="8" xfId="0" applyNumberFormat="1" applyBorder="1"/>
    <xf numFmtId="4" fontId="0" fillId="0" borderId="12" xfId="0" applyNumberFormat="1" applyBorder="1"/>
    <xf numFmtId="4" fontId="0" fillId="0" borderId="2" xfId="0" applyNumberFormat="1" applyBorder="1"/>
    <xf numFmtId="0" fontId="34" fillId="20" borderId="0" xfId="0" applyFont="1" applyFill="1"/>
    <xf numFmtId="4" fontId="5" fillId="0" borderId="11" xfId="0" applyNumberFormat="1" applyFont="1" applyBorder="1"/>
    <xf numFmtId="10" fontId="0" fillId="0" borderId="31" xfId="1" applyNumberFormat="1" applyFont="1" applyBorder="1"/>
    <xf numFmtId="10" fontId="0" fillId="0" borderId="12" xfId="1" applyNumberFormat="1" applyFont="1" applyBorder="1"/>
    <xf numFmtId="4" fontId="5" fillId="6" borderId="0" xfId="0" applyNumberFormat="1" applyFont="1" applyFill="1"/>
    <xf numFmtId="3" fontId="0" fillId="0" borderId="2" xfId="0" applyNumberFormat="1" applyBorder="1"/>
    <xf numFmtId="0" fontId="5" fillId="0" borderId="8" xfId="0" applyFont="1" applyBorder="1"/>
    <xf numFmtId="1" fontId="5" fillId="0" borderId="3" xfId="0" applyNumberFormat="1" applyFont="1" applyBorder="1"/>
    <xf numFmtId="0" fontId="0" fillId="21" borderId="0" xfId="0" applyFill="1"/>
    <xf numFmtId="0" fontId="5" fillId="0" borderId="40" xfId="0" applyFont="1" applyBorder="1"/>
    <xf numFmtId="9" fontId="0" fillId="0" borderId="12" xfId="0" applyNumberFormat="1" applyBorder="1"/>
    <xf numFmtId="170" fontId="0" fillId="0" borderId="0" xfId="0" applyNumberFormat="1"/>
    <xf numFmtId="170" fontId="0" fillId="0" borderId="12" xfId="0" applyNumberFormat="1" applyBorder="1"/>
    <xf numFmtId="10" fontId="5" fillId="0" borderId="12" xfId="0" applyNumberFormat="1" applyFont="1" applyBorder="1"/>
    <xf numFmtId="10" fontId="0" fillId="0" borderId="31" xfId="0" applyNumberFormat="1" applyBorder="1"/>
    <xf numFmtId="0" fontId="5" fillId="9" borderId="11" xfId="0" applyFont="1" applyFill="1" applyBorder="1"/>
    <xf numFmtId="1" fontId="0" fillId="0" borderId="11" xfId="0" applyNumberFormat="1" applyBorder="1"/>
    <xf numFmtId="1" fontId="5" fillId="0" borderId="9" xfId="0" applyNumberFormat="1" applyFont="1" applyBorder="1"/>
    <xf numFmtId="1" fontId="5" fillId="0" borderId="7" xfId="0" applyNumberFormat="1" applyFont="1" applyBorder="1"/>
    <xf numFmtId="1" fontId="5" fillId="0" borderId="41" xfId="0" applyNumberFormat="1" applyFont="1" applyBorder="1"/>
    <xf numFmtId="9" fontId="0" fillId="9" borderId="11" xfId="1" applyFont="1" applyFill="1" applyBorder="1"/>
    <xf numFmtId="1" fontId="5" fillId="9" borderId="11" xfId="0" applyNumberFormat="1" applyFont="1" applyFill="1" applyBorder="1"/>
    <xf numFmtId="10" fontId="0" fillId="9" borderId="11" xfId="1" applyNumberFormat="1" applyFont="1" applyFill="1" applyBorder="1"/>
    <xf numFmtId="1" fontId="5" fillId="9" borderId="9" xfId="0" applyNumberFormat="1" applyFont="1" applyFill="1" applyBorder="1"/>
    <xf numFmtId="167" fontId="0" fillId="0" borderId="11" xfId="0" applyNumberFormat="1" applyBorder="1"/>
    <xf numFmtId="167" fontId="5" fillId="9" borderId="9" xfId="0" applyNumberFormat="1" applyFont="1" applyFill="1" applyBorder="1"/>
    <xf numFmtId="167" fontId="5" fillId="6" borderId="9" xfId="0" applyNumberFormat="1" applyFont="1" applyFill="1" applyBorder="1"/>
    <xf numFmtId="0" fontId="0" fillId="21" borderId="5" xfId="0" applyFill="1" applyBorder="1"/>
    <xf numFmtId="10" fontId="0" fillId="6" borderId="11" xfId="1" applyNumberFormat="1" applyFont="1" applyFill="1" applyBorder="1"/>
    <xf numFmtId="9" fontId="0" fillId="6" borderId="11" xfId="1" applyFont="1" applyFill="1" applyBorder="1"/>
    <xf numFmtId="0" fontId="5" fillId="9" borderId="5" xfId="0" applyFont="1" applyFill="1" applyBorder="1"/>
    <xf numFmtId="0" fontId="5" fillId="9" borderId="8" xfId="0" applyFont="1" applyFill="1" applyBorder="1" applyAlignment="1">
      <alignment horizontal="right"/>
    </xf>
    <xf numFmtId="0" fontId="0" fillId="21" borderId="14" xfId="0" applyFill="1" applyBorder="1"/>
    <xf numFmtId="0" fontId="5" fillId="0" borderId="41" xfId="0" applyFont="1" applyBorder="1"/>
    <xf numFmtId="1" fontId="5" fillId="0" borderId="40" xfId="0" applyNumberFormat="1" applyFont="1" applyBorder="1"/>
    <xf numFmtId="0" fontId="14" fillId="20" borderId="7" xfId="0" applyFont="1" applyFill="1" applyBorder="1"/>
    <xf numFmtId="0" fontId="14" fillId="20" borderId="5" xfId="0" applyFont="1" applyFill="1" applyBorder="1"/>
    <xf numFmtId="0" fontId="14" fillId="20" borderId="8" xfId="0" applyFont="1" applyFill="1" applyBorder="1"/>
    <xf numFmtId="0" fontId="36" fillId="20" borderId="11" xfId="0" applyFont="1" applyFill="1" applyBorder="1"/>
    <xf numFmtId="0" fontId="25" fillId="20" borderId="13" xfId="0" applyFont="1" applyFill="1" applyBorder="1"/>
    <xf numFmtId="0" fontId="34" fillId="20" borderId="7" xfId="0" applyFont="1" applyFill="1" applyBorder="1"/>
    <xf numFmtId="1" fontId="34" fillId="20" borderId="5" xfId="0" applyNumberFormat="1" applyFont="1" applyFill="1" applyBorder="1"/>
    <xf numFmtId="0" fontId="34" fillId="20" borderId="8" xfId="0" applyFont="1" applyFill="1" applyBorder="1"/>
    <xf numFmtId="2" fontId="0" fillId="6" borderId="0" xfId="0" applyNumberFormat="1" applyFill="1"/>
    <xf numFmtId="0" fontId="14" fillId="6" borderId="0" xfId="0" applyFont="1" applyFill="1"/>
    <xf numFmtId="0" fontId="0" fillId="6" borderId="12" xfId="0" applyFill="1" applyBorder="1"/>
    <xf numFmtId="0" fontId="0" fillId="6" borderId="2" xfId="0" applyFill="1" applyBorder="1"/>
    <xf numFmtId="2" fontId="0" fillId="6" borderId="2" xfId="0" applyNumberFormat="1" applyFill="1" applyBorder="1"/>
    <xf numFmtId="0" fontId="25" fillId="20" borderId="17" xfId="0" applyFont="1" applyFill="1" applyBorder="1"/>
    <xf numFmtId="0" fontId="0" fillId="6" borderId="6" xfId="0" applyFill="1" applyBorder="1"/>
    <xf numFmtId="2" fontId="0" fillId="6" borderId="6" xfId="0" applyNumberFormat="1" applyFill="1" applyBorder="1"/>
    <xf numFmtId="0" fontId="0" fillId="6" borderId="14" xfId="0" applyFill="1" applyBorder="1"/>
    <xf numFmtId="0" fontId="26" fillId="20" borderId="13" xfId="0" applyFont="1" applyFill="1" applyBorder="1"/>
    <xf numFmtId="2" fontId="5" fillId="6" borderId="2" xfId="0" applyNumberFormat="1" applyFont="1" applyFill="1" applyBorder="1"/>
    <xf numFmtId="0" fontId="5" fillId="6" borderId="31" xfId="0" applyFont="1" applyFill="1" applyBorder="1"/>
    <xf numFmtId="1" fontId="0" fillId="6" borderId="12" xfId="0" applyNumberFormat="1" applyFill="1" applyBorder="1"/>
    <xf numFmtId="4" fontId="5" fillId="6" borderId="7" xfId="0" applyNumberFormat="1" applyFont="1" applyFill="1" applyBorder="1"/>
    <xf numFmtId="4" fontId="5" fillId="6" borderId="13" xfId="0" applyNumberFormat="1" applyFont="1" applyFill="1" applyBorder="1"/>
    <xf numFmtId="10" fontId="5" fillId="6" borderId="2" xfId="1" applyNumberFormat="1" applyFont="1" applyFill="1" applyBorder="1"/>
    <xf numFmtId="0" fontId="0" fillId="6" borderId="5" xfId="0" applyFill="1" applyBorder="1"/>
    <xf numFmtId="4" fontId="0" fillId="6" borderId="7" xfId="0" applyNumberFormat="1" applyFill="1" applyBorder="1"/>
    <xf numFmtId="4" fontId="0" fillId="6" borderId="5" xfId="0" applyNumberFormat="1" applyFill="1" applyBorder="1"/>
    <xf numFmtId="4" fontId="0" fillId="6" borderId="8" xfId="0" applyNumberFormat="1" applyFill="1" applyBorder="1"/>
    <xf numFmtId="4" fontId="0" fillId="6" borderId="11" xfId="0" applyNumberFormat="1" applyFill="1" applyBorder="1"/>
    <xf numFmtId="4" fontId="0" fillId="6" borderId="0" xfId="0" applyNumberFormat="1" applyFill="1"/>
    <xf numFmtId="4" fontId="0" fillId="6" borderId="12" xfId="0" applyNumberFormat="1" applyFill="1" applyBorder="1"/>
    <xf numFmtId="4" fontId="0" fillId="6" borderId="13" xfId="0" applyNumberFormat="1" applyFill="1" applyBorder="1"/>
    <xf numFmtId="4" fontId="0" fillId="6" borderId="2" xfId="0" applyNumberFormat="1" applyFill="1" applyBorder="1"/>
    <xf numFmtId="4" fontId="0" fillId="6" borderId="31" xfId="0" applyNumberFormat="1" applyFill="1" applyBorder="1"/>
    <xf numFmtId="3" fontId="0" fillId="6" borderId="0" xfId="0" applyNumberFormat="1" applyFill="1"/>
    <xf numFmtId="3" fontId="0" fillId="6" borderId="31" xfId="0" applyNumberFormat="1" applyFill="1" applyBorder="1"/>
    <xf numFmtId="3" fontId="0" fillId="0" borderId="5" xfId="0" applyNumberFormat="1" applyBorder="1"/>
    <xf numFmtId="3" fontId="0" fillId="6" borderId="11" xfId="0" applyNumberFormat="1" applyFill="1" applyBorder="1"/>
    <xf numFmtId="3" fontId="0" fillId="6" borderId="13" xfId="0" applyNumberFormat="1" applyFill="1" applyBorder="1"/>
    <xf numFmtId="3" fontId="0" fillId="6" borderId="2" xfId="0" applyNumberFormat="1" applyFill="1" applyBorder="1"/>
    <xf numFmtId="4" fontId="0" fillId="6" borderId="40" xfId="0" applyNumberFormat="1" applyFill="1" applyBorder="1"/>
    <xf numFmtId="3" fontId="0" fillId="6" borderId="44" xfId="0" applyNumberFormat="1" applyFill="1" applyBorder="1"/>
    <xf numFmtId="4" fontId="0" fillId="6" borderId="42" xfId="0" applyNumberFormat="1" applyFill="1" applyBorder="1"/>
    <xf numFmtId="0" fontId="26" fillId="20" borderId="11" xfId="0" applyFont="1" applyFill="1" applyBorder="1"/>
    <xf numFmtId="0" fontId="26" fillId="20" borderId="9" xfId="0" applyFont="1" applyFill="1" applyBorder="1"/>
    <xf numFmtId="2" fontId="5" fillId="6" borderId="4" xfId="0" applyNumberFormat="1" applyFont="1" applyFill="1" applyBorder="1"/>
    <xf numFmtId="167" fontId="5" fillId="6" borderId="10" xfId="0" applyNumberFormat="1" applyFont="1" applyFill="1" applyBorder="1"/>
    <xf numFmtId="4" fontId="0" fillId="0" borderId="1" xfId="0" applyNumberFormat="1" applyBorder="1"/>
    <xf numFmtId="4" fontId="0" fillId="6" borderId="17" xfId="0" applyNumberFormat="1" applyFill="1" applyBorder="1"/>
    <xf numFmtId="4" fontId="5" fillId="6" borderId="9" xfId="0" applyNumberFormat="1" applyFont="1" applyFill="1" applyBorder="1"/>
    <xf numFmtId="4" fontId="5" fillId="0" borderId="1" xfId="0" applyNumberFormat="1" applyFont="1" applyBorder="1"/>
    <xf numFmtId="4" fontId="0" fillId="6" borderId="1" xfId="0" applyNumberFormat="1" applyFill="1" applyBorder="1"/>
    <xf numFmtId="4" fontId="5" fillId="6" borderId="1" xfId="0" applyNumberFormat="1" applyFont="1" applyFill="1" applyBorder="1"/>
    <xf numFmtId="4" fontId="13" fillId="20" borderId="0" xfId="0" applyNumberFormat="1" applyFont="1" applyFill="1"/>
    <xf numFmtId="4" fontId="5" fillId="6" borderId="43" xfId="0" applyNumberFormat="1" applyFont="1" applyFill="1" applyBorder="1"/>
    <xf numFmtId="4" fontId="0" fillId="6" borderId="16" xfId="0" applyNumberFormat="1" applyFill="1" applyBorder="1"/>
    <xf numFmtId="4" fontId="5" fillId="0" borderId="43" xfId="0" applyNumberFormat="1" applyFont="1" applyBorder="1"/>
    <xf numFmtId="4" fontId="0" fillId="0" borderId="16" xfId="0" applyNumberFormat="1" applyBorder="1"/>
    <xf numFmtId="4" fontId="34" fillId="20" borderId="7" xfId="0" applyNumberFormat="1" applyFont="1" applyFill="1" applyBorder="1"/>
    <xf numFmtId="4" fontId="34" fillId="20" borderId="5" xfId="0" applyNumberFormat="1" applyFont="1" applyFill="1" applyBorder="1"/>
    <xf numFmtId="4" fontId="34" fillId="20" borderId="8" xfId="0" applyNumberFormat="1" applyFont="1" applyFill="1" applyBorder="1"/>
    <xf numFmtId="3" fontId="0" fillId="6" borderId="6" xfId="0" applyNumberFormat="1" applyFill="1" applyBorder="1"/>
    <xf numFmtId="3" fontId="0" fillId="6" borderId="14" xfId="0" applyNumberFormat="1" applyFill="1" applyBorder="1"/>
    <xf numFmtId="173" fontId="0" fillId="0" borderId="0" xfId="0" applyNumberFormat="1"/>
    <xf numFmtId="10" fontId="0" fillId="6" borderId="2" xfId="0" applyNumberFormat="1" applyFill="1" applyBorder="1"/>
    <xf numFmtId="173" fontId="0" fillId="0" borderId="2" xfId="0" applyNumberFormat="1" applyBorder="1"/>
    <xf numFmtId="169" fontId="0" fillId="4" borderId="0" xfId="0" applyNumberFormat="1" applyFill="1"/>
    <xf numFmtId="169" fontId="0" fillId="0" borderId="27" xfId="0" applyNumberFormat="1" applyBorder="1"/>
    <xf numFmtId="2" fontId="0" fillId="0" borderId="27" xfId="0" applyNumberFormat="1" applyBorder="1"/>
    <xf numFmtId="166" fontId="0" fillId="4" borderId="2" xfId="0" applyNumberFormat="1" applyFill="1" applyBorder="1"/>
    <xf numFmtId="169" fontId="0" fillId="4" borderId="2" xfId="0" applyNumberFormat="1" applyFill="1" applyBorder="1"/>
    <xf numFmtId="2" fontId="0" fillId="0" borderId="13" xfId="0" applyNumberFormat="1" applyBorder="1"/>
    <xf numFmtId="0" fontId="0" fillId="0" borderId="0" xfId="0" applyAlignment="1">
      <alignment vertical="center"/>
    </xf>
    <xf numFmtId="175" fontId="0" fillId="0" borderId="0" xfId="0" applyNumberFormat="1"/>
    <xf numFmtId="175" fontId="0" fillId="6" borderId="0" xfId="0" applyNumberFormat="1" applyFill="1"/>
    <xf numFmtId="0" fontId="34" fillId="20" borderId="5" xfId="0" applyFont="1" applyFill="1" applyBorder="1"/>
    <xf numFmtId="10" fontId="0" fillId="6" borderId="14" xfId="0" applyNumberFormat="1" applyFill="1" applyBorder="1"/>
    <xf numFmtId="10" fontId="0" fillId="6" borderId="31" xfId="0" applyNumberFormat="1" applyFill="1" applyBorder="1"/>
    <xf numFmtId="0" fontId="0" fillId="6" borderId="45" xfId="0" applyFill="1" applyBorder="1"/>
    <xf numFmtId="174" fontId="0" fillId="6" borderId="45" xfId="1" applyNumberFormat="1" applyFont="1" applyFill="1" applyBorder="1"/>
    <xf numFmtId="174" fontId="0" fillId="6" borderId="16" xfId="1" applyNumberFormat="1" applyFont="1" applyFill="1" applyBorder="1"/>
    <xf numFmtId="0" fontId="34" fillId="20" borderId="45" xfId="0" applyFont="1" applyFill="1" applyBorder="1"/>
    <xf numFmtId="0" fontId="0" fillId="6" borderId="16" xfId="0" applyFill="1" applyBorder="1"/>
    <xf numFmtId="4" fontId="0" fillId="6" borderId="37" xfId="0" applyNumberFormat="1" applyFill="1" applyBorder="1"/>
    <xf numFmtId="10" fontId="0" fillId="6" borderId="45" xfId="0" applyNumberFormat="1" applyFill="1" applyBorder="1"/>
    <xf numFmtId="174" fontId="0" fillId="6" borderId="37" xfId="1" applyNumberFormat="1" applyFont="1" applyFill="1" applyBorder="1"/>
    <xf numFmtId="175" fontId="0" fillId="6" borderId="37" xfId="0" applyNumberFormat="1" applyFill="1" applyBorder="1"/>
    <xf numFmtId="0" fontId="0" fillId="6" borderId="37" xfId="0" applyFill="1" applyBorder="1"/>
    <xf numFmtId="0" fontId="34" fillId="6" borderId="0" xfId="0" applyFont="1" applyFill="1"/>
    <xf numFmtId="166" fontId="14" fillId="20" borderId="0" xfId="0" applyNumberFormat="1" applyFont="1" applyFill="1" applyAlignment="1">
      <alignment horizontal="center"/>
    </xf>
    <xf numFmtId="10" fontId="0" fillId="6" borderId="1" xfId="1" applyNumberFormat="1" applyFont="1" applyFill="1" applyBorder="1"/>
    <xf numFmtId="175" fontId="0" fillId="6" borderId="1" xfId="0" applyNumberFormat="1" applyFill="1" applyBorder="1"/>
    <xf numFmtId="170" fontId="0" fillId="6" borderId="37" xfId="1" applyNumberFormat="1" applyFont="1" applyFill="1" applyBorder="1"/>
    <xf numFmtId="9" fontId="0" fillId="6" borderId="5" xfId="1" applyFont="1" applyFill="1" applyBorder="1"/>
    <xf numFmtId="9" fontId="0" fillId="6" borderId="8" xfId="1" applyFont="1" applyFill="1" applyBorder="1"/>
    <xf numFmtId="10" fontId="0" fillId="6" borderId="5" xfId="0" applyNumberFormat="1" applyFill="1" applyBorder="1"/>
    <xf numFmtId="10" fontId="0" fillId="6" borderId="8" xfId="0" applyNumberFormat="1" applyFill="1" applyBorder="1"/>
    <xf numFmtId="0" fontId="33" fillId="0" borderId="5" xfId="0" applyFont="1" applyBorder="1"/>
    <xf numFmtId="1" fontId="33" fillId="0" borderId="38" xfId="0" applyNumberFormat="1" applyFont="1" applyBorder="1"/>
    <xf numFmtId="1" fontId="33" fillId="0" borderId="5" xfId="0" applyNumberFormat="1" applyFont="1" applyBorder="1"/>
    <xf numFmtId="1" fontId="33" fillId="0" borderId="3" xfId="0" applyNumberFormat="1" applyFont="1" applyBorder="1"/>
    <xf numFmtId="2" fontId="0" fillId="0" borderId="12" xfId="0" applyNumberFormat="1" applyBorder="1"/>
    <xf numFmtId="172" fontId="0" fillId="0" borderId="12" xfId="0" applyNumberFormat="1" applyBorder="1"/>
    <xf numFmtId="176" fontId="0" fillId="0" borderId="0" xfId="0" applyNumberFormat="1"/>
    <xf numFmtId="176" fontId="0" fillId="0" borderId="2" xfId="0" applyNumberFormat="1" applyBorder="1"/>
    <xf numFmtId="176" fontId="0" fillId="0" borderId="5" xfId="0" applyNumberFormat="1" applyBorder="1"/>
    <xf numFmtId="175" fontId="0" fillId="0" borderId="5" xfId="0" applyNumberFormat="1" applyBorder="1"/>
    <xf numFmtId="175" fontId="0" fillId="0" borderId="2" xfId="0" applyNumberFormat="1" applyBorder="1"/>
    <xf numFmtId="4" fontId="5" fillId="0" borderId="0" xfId="0" applyNumberFormat="1" applyFont="1"/>
    <xf numFmtId="2" fontId="0" fillId="0" borderId="31" xfId="0" applyNumberFormat="1" applyBorder="1"/>
    <xf numFmtId="2" fontId="14" fillId="20" borderId="0" xfId="0" applyNumberFormat="1" applyFont="1" applyFill="1"/>
    <xf numFmtId="0" fontId="5" fillId="19" borderId="0" xfId="0" applyFont="1" applyFill="1"/>
    <xf numFmtId="164" fontId="0" fillId="0" borderId="0" xfId="0" applyNumberFormat="1"/>
    <xf numFmtId="177" fontId="5" fillId="6" borderId="5" xfId="1" applyNumberFormat="1" applyFont="1" applyFill="1" applyBorder="1"/>
    <xf numFmtId="2" fontId="0" fillId="0" borderId="16" xfId="0" applyNumberFormat="1" applyBorder="1"/>
    <xf numFmtId="2" fontId="0" fillId="0" borderId="2" xfId="0" applyNumberFormat="1" applyBorder="1"/>
    <xf numFmtId="0" fontId="14" fillId="20" borderId="0" xfId="0" applyFont="1" applyFill="1" applyBorder="1"/>
    <xf numFmtId="0" fontId="0" fillId="0" borderId="0" xfId="0" applyBorder="1"/>
    <xf numFmtId="0" fontId="14" fillId="20" borderId="12" xfId="0" applyFont="1" applyFill="1" applyBorder="1"/>
    <xf numFmtId="3" fontId="0" fillId="0" borderId="0" xfId="0" applyNumberFormat="1" applyBorder="1"/>
    <xf numFmtId="1" fontId="0" fillId="0" borderId="0" xfId="0" applyNumberFormat="1" applyBorder="1"/>
    <xf numFmtId="167" fontId="0" fillId="0" borderId="2" xfId="0" applyNumberFormat="1" applyBorder="1"/>
    <xf numFmtId="167" fontId="0" fillId="0" borderId="31" xfId="0" applyNumberFormat="1" applyBorder="1"/>
    <xf numFmtId="0" fontId="0" fillId="20" borderId="0" xfId="0" applyFill="1" applyAlignment="1"/>
    <xf numFmtId="0" fontId="0" fillId="20" borderId="0" xfId="0" applyFill="1" applyBorder="1"/>
    <xf numFmtId="174" fontId="0" fillId="0" borderId="0" xfId="0" applyNumberFormat="1"/>
    <xf numFmtId="174" fontId="0" fillId="0" borderId="0" xfId="1" applyNumberFormat="1" applyFont="1"/>
    <xf numFmtId="0" fontId="40" fillId="20" borderId="9" xfId="0" applyFont="1" applyFill="1" applyBorder="1"/>
    <xf numFmtId="10" fontId="40" fillId="20" borderId="10" xfId="0" applyNumberFormat="1" applyFont="1" applyFill="1" applyBorder="1"/>
    <xf numFmtId="0" fontId="40" fillId="20" borderId="4" xfId="0" applyFont="1" applyFill="1" applyBorder="1"/>
    <xf numFmtId="10" fontId="40" fillId="20" borderId="4" xfId="0" applyNumberFormat="1" applyFont="1" applyFill="1" applyBorder="1"/>
    <xf numFmtId="0" fontId="0" fillId="6" borderId="0" xfId="0" applyFont="1" applyFill="1"/>
    <xf numFmtId="9" fontId="0" fillId="6" borderId="0" xfId="0" applyNumberFormat="1" applyFill="1"/>
    <xf numFmtId="1" fontId="0" fillId="0" borderId="37" xfId="0" applyNumberFormat="1" applyBorder="1"/>
    <xf numFmtId="1" fontId="0" fillId="0" borderId="17" xfId="0" applyNumberFormat="1" applyBorder="1"/>
    <xf numFmtId="10" fontId="5" fillId="0" borderId="17" xfId="1" applyNumberFormat="1" applyFont="1" applyBorder="1"/>
    <xf numFmtId="10" fontId="0" fillId="0" borderId="17" xfId="0" applyNumberFormat="1" applyBorder="1"/>
    <xf numFmtId="2" fontId="0" fillId="0" borderId="37" xfId="0" applyNumberFormat="1" applyBorder="1"/>
    <xf numFmtId="0" fontId="0" fillId="0" borderId="1" xfId="1" applyNumberFormat="1" applyFont="1" applyBorder="1"/>
    <xf numFmtId="0" fontId="0" fillId="0" borderId="1" xfId="0" applyFill="1" applyBorder="1"/>
    <xf numFmtId="2" fontId="0" fillId="0" borderId="17" xfId="0" applyNumberFormat="1" applyBorder="1"/>
    <xf numFmtId="2" fontId="0" fillId="0" borderId="11" xfId="1" applyNumberFormat="1" applyFont="1" applyBorder="1"/>
    <xf numFmtId="0" fontId="26" fillId="15" borderId="0" xfId="0" applyFont="1" applyFill="1" applyBorder="1"/>
    <xf numFmtId="2" fontId="0" fillId="4" borderId="0" xfId="0" applyNumberFormat="1" applyFill="1" applyBorder="1"/>
    <xf numFmtId="2" fontId="0" fillId="4" borderId="45" xfId="0" applyNumberFormat="1" applyFill="1" applyBorder="1"/>
    <xf numFmtId="2" fontId="0" fillId="4" borderId="37" xfId="0" applyNumberFormat="1" applyFill="1" applyBorder="1"/>
    <xf numFmtId="0" fontId="5" fillId="3" borderId="5" xfId="0" applyFont="1" applyFill="1" applyBorder="1"/>
    <xf numFmtId="2" fontId="0" fillId="3" borderId="5" xfId="0" applyNumberFormat="1" applyFill="1" applyBorder="1"/>
    <xf numFmtId="1" fontId="0" fillId="3" borderId="46" xfId="0" applyNumberFormat="1" applyFill="1" applyBorder="1"/>
    <xf numFmtId="0" fontId="5" fillId="3" borderId="2" xfId="0" applyFont="1" applyFill="1" applyBorder="1"/>
    <xf numFmtId="2" fontId="0" fillId="3" borderId="2" xfId="0" applyNumberFormat="1" applyFill="1" applyBorder="1"/>
    <xf numFmtId="1" fontId="0" fillId="3" borderId="47" xfId="0" applyNumberFormat="1" applyFill="1" applyBorder="1"/>
    <xf numFmtId="0" fontId="5" fillId="3" borderId="0" xfId="0" applyFont="1" applyFill="1" applyBorder="1" applyAlignment="1">
      <alignment horizontal="center"/>
    </xf>
    <xf numFmtId="0" fontId="6" fillId="10" borderId="5" xfId="0" applyFont="1" applyFill="1" applyBorder="1" applyAlignment="1"/>
    <xf numFmtId="0" fontId="6" fillId="10" borderId="8" xfId="0" applyFont="1" applyFill="1" applyBorder="1" applyAlignment="1"/>
    <xf numFmtId="0" fontId="39" fillId="20" borderId="5" xfId="0" applyFont="1" applyFill="1" applyBorder="1" applyAlignment="1"/>
    <xf numFmtId="0" fontId="39" fillId="20" borderId="8" xfId="0" applyFont="1" applyFill="1" applyBorder="1" applyAlignment="1"/>
    <xf numFmtId="4" fontId="0" fillId="0" borderId="0" xfId="0" applyNumberFormat="1" applyBorder="1"/>
    <xf numFmtId="0" fontId="14" fillId="6" borderId="37" xfId="0" applyFont="1" applyFill="1" applyBorder="1"/>
    <xf numFmtId="49" fontId="0" fillId="0" borderId="0" xfId="0" applyNumberFormat="1"/>
    <xf numFmtId="49" fontId="38" fillId="20" borderId="0" xfId="0" applyNumberFormat="1" applyFont="1" applyFill="1"/>
    <xf numFmtId="49" fontId="0" fillId="6" borderId="0" xfId="0" applyNumberFormat="1" applyFill="1" applyAlignment="1">
      <alignment horizontal="center"/>
    </xf>
    <xf numFmtId="49" fontId="0" fillId="6" borderId="0" xfId="0" applyNumberFormat="1" applyFill="1"/>
    <xf numFmtId="0" fontId="41" fillId="20" borderId="7" xfId="0" applyFont="1" applyFill="1" applyBorder="1"/>
    <xf numFmtId="0" fontId="41" fillId="20" borderId="5" xfId="0" applyFont="1" applyFill="1" applyBorder="1"/>
    <xf numFmtId="0" fontId="41" fillId="20" borderId="8" xfId="0" applyFont="1" applyFill="1" applyBorder="1"/>
    <xf numFmtId="0" fontId="14" fillId="20" borderId="7" xfId="0" applyFont="1" applyFill="1" applyBorder="1" applyAlignment="1"/>
    <xf numFmtId="0" fontId="0" fillId="0" borderId="45" xfId="0" applyBorder="1"/>
    <xf numFmtId="1" fontId="0" fillId="6" borderId="0" xfId="0" applyNumberFormat="1" applyFont="1" applyFill="1"/>
    <xf numFmtId="0" fontId="0" fillId="6" borderId="11" xfId="0" applyFont="1" applyFill="1" applyBorder="1"/>
    <xf numFmtId="1" fontId="0" fillId="6" borderId="0" xfId="0" applyNumberFormat="1" applyFont="1" applyFill="1" applyBorder="1"/>
    <xf numFmtId="1" fontId="0" fillId="6" borderId="12" xfId="0" applyNumberFormat="1" applyFont="1" applyFill="1" applyBorder="1"/>
    <xf numFmtId="0" fontId="0" fillId="6" borderId="0" xfId="0" applyFill="1" applyBorder="1"/>
    <xf numFmtId="1" fontId="0" fillId="6" borderId="0" xfId="0" applyNumberFormat="1" applyFill="1" applyBorder="1"/>
    <xf numFmtId="9" fontId="0" fillId="6" borderId="13" xfId="0" applyNumberFormat="1" applyFill="1" applyBorder="1"/>
    <xf numFmtId="2" fontId="0" fillId="6" borderId="31" xfId="0" applyNumberFormat="1" applyFill="1" applyBorder="1"/>
    <xf numFmtId="1" fontId="5" fillId="0" borderId="10" xfId="0" applyNumberFormat="1" applyFont="1" applyBorder="1"/>
    <xf numFmtId="1" fontId="5" fillId="0" borderId="0" xfId="0" applyNumberFormat="1" applyFont="1" applyBorder="1"/>
    <xf numFmtId="1" fontId="5" fillId="0" borderId="12" xfId="0" applyNumberFormat="1" applyFont="1" applyBorder="1"/>
    <xf numFmtId="0" fontId="5" fillId="0" borderId="17" xfId="0" applyFont="1" applyBorder="1"/>
    <xf numFmtId="1" fontId="5" fillId="0" borderId="6" xfId="0" applyNumberFormat="1" applyFont="1" applyBorder="1"/>
    <xf numFmtId="1" fontId="5" fillId="0" borderId="14" xfId="0" applyNumberFormat="1" applyFont="1" applyBorder="1"/>
    <xf numFmtId="49" fontId="0" fillId="0" borderId="11" xfId="0" applyNumberFormat="1" applyBorder="1"/>
    <xf numFmtId="49" fontId="0" fillId="0" borderId="11" xfId="0" applyNumberFormat="1" applyFont="1" applyBorder="1"/>
    <xf numFmtId="0" fontId="42" fillId="6" borderId="19" xfId="0" applyFont="1" applyFill="1" applyBorder="1" applyAlignment="1">
      <alignment wrapText="1"/>
    </xf>
    <xf numFmtId="0" fontId="5" fillId="6" borderId="4" xfId="0" applyFont="1" applyFill="1" applyBorder="1"/>
    <xf numFmtId="0" fontId="5" fillId="6" borderId="15" xfId="0" applyFont="1" applyFill="1" applyBorder="1"/>
    <xf numFmtId="0" fontId="5" fillId="6" borderId="0" xfId="0" applyFont="1" applyFill="1"/>
    <xf numFmtId="1" fontId="5" fillId="6" borderId="4" xfId="0" applyNumberFormat="1" applyFont="1" applyFill="1" applyBorder="1"/>
    <xf numFmtId="9" fontId="0" fillId="6" borderId="0" xfId="1" applyFont="1" applyFill="1"/>
    <xf numFmtId="0" fontId="42" fillId="6" borderId="0" xfId="0" applyFont="1" applyFill="1"/>
    <xf numFmtId="0" fontId="43" fillId="6" borderId="18" xfId="0" applyFont="1" applyFill="1" applyBorder="1" applyAlignment="1">
      <alignment wrapText="1"/>
    </xf>
    <xf numFmtId="0" fontId="0" fillId="6" borderId="12" xfId="0" applyFont="1" applyFill="1" applyBorder="1"/>
    <xf numFmtId="0" fontId="43" fillId="6" borderId="0" xfId="0" applyFont="1" applyFill="1"/>
    <xf numFmtId="2" fontId="0" fillId="6" borderId="0" xfId="0" applyNumberFormat="1" applyFont="1" applyFill="1"/>
    <xf numFmtId="0" fontId="0" fillId="6" borderId="1" xfId="0" applyFont="1" applyFill="1" applyBorder="1"/>
    <xf numFmtId="0" fontId="0" fillId="6" borderId="4" xfId="0" applyFont="1" applyFill="1" applyBorder="1"/>
    <xf numFmtId="0" fontId="1" fillId="6" borderId="0" xfId="0" applyFont="1" applyFill="1"/>
    <xf numFmtId="1" fontId="6" fillId="0" borderId="4" xfId="0" applyNumberFormat="1" applyFont="1" applyBorder="1"/>
    <xf numFmtId="0" fontId="6" fillId="10" borderId="11" xfId="0" applyFont="1" applyFill="1" applyBorder="1"/>
    <xf numFmtId="0" fontId="6" fillId="10" borderId="0" xfId="0" applyFont="1" applyFill="1" applyBorder="1"/>
    <xf numFmtId="0" fontId="6" fillId="10" borderId="12" xfId="0" applyFont="1" applyFill="1" applyBorder="1"/>
    <xf numFmtId="0" fontId="6" fillId="0" borderId="9" xfId="0" applyFont="1" applyBorder="1"/>
    <xf numFmtId="1" fontId="6" fillId="0" borderId="10" xfId="0" applyNumberFormat="1" applyFont="1" applyBorder="1"/>
    <xf numFmtId="0" fontId="14" fillId="20" borderId="7" xfId="0" applyFont="1" applyFill="1" applyBorder="1" applyAlignment="1">
      <alignment horizontal="center"/>
    </xf>
    <xf numFmtId="0" fontId="14" fillId="20" borderId="5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center"/>
    </xf>
    <xf numFmtId="0" fontId="7" fillId="21" borderId="6" xfId="0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/>
    </xf>
    <xf numFmtId="0" fontId="7" fillId="21" borderId="0" xfId="0" applyFont="1" applyFill="1" applyAlignment="1">
      <alignment horizontal="center"/>
    </xf>
    <xf numFmtId="0" fontId="7" fillId="21" borderId="7" xfId="0" applyFont="1" applyFill="1" applyBorder="1" applyAlignment="1">
      <alignment horizontal="center"/>
    </xf>
    <xf numFmtId="0" fontId="7" fillId="21" borderId="5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/>
    </xf>
    <xf numFmtId="0" fontId="7" fillId="21" borderId="14" xfId="0" applyFont="1" applyFill="1" applyBorder="1" applyAlignment="1">
      <alignment horizontal="center"/>
    </xf>
    <xf numFmtId="0" fontId="7" fillId="21" borderId="8" xfId="0" applyFont="1" applyFill="1" applyBorder="1" applyAlignment="1">
      <alignment horizontal="center"/>
    </xf>
    <xf numFmtId="4" fontId="5" fillId="10" borderId="0" xfId="0" applyNumberFormat="1" applyFont="1" applyFill="1" applyAlignment="1">
      <alignment horizontal="center"/>
    </xf>
    <xf numFmtId="4" fontId="5" fillId="10" borderId="2" xfId="0" applyNumberFormat="1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2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6" fillId="15" borderId="22" xfId="0" applyFont="1" applyFill="1" applyBorder="1" applyAlignment="1">
      <alignment horizontal="center"/>
    </xf>
    <xf numFmtId="0" fontId="26" fillId="15" borderId="26" xfId="0" applyFont="1" applyFill="1" applyBorder="1" applyAlignment="1">
      <alignment horizontal="center"/>
    </xf>
    <xf numFmtId="0" fontId="26" fillId="15" borderId="24" xfId="0" applyFont="1" applyFill="1" applyBorder="1" applyAlignment="1">
      <alignment horizontal="center"/>
    </xf>
    <xf numFmtId="0" fontId="26" fillId="15" borderId="0" xfId="0" applyFont="1" applyFill="1" applyAlignment="1">
      <alignment horizontal="center"/>
    </xf>
    <xf numFmtId="0" fontId="26" fillId="15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26" fillId="15" borderId="28" xfId="0" applyFont="1" applyFill="1" applyBorder="1" applyAlignment="1">
      <alignment horizontal="center"/>
    </xf>
    <xf numFmtId="0" fontId="26" fillId="15" borderId="27" xfId="0" applyFont="1" applyFill="1" applyBorder="1" applyAlignment="1">
      <alignment horizontal="center"/>
    </xf>
    <xf numFmtId="0" fontId="26" fillId="15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2" xfId="0" applyNumberFormat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39" fillId="20" borderId="17" xfId="0" applyFont="1" applyFill="1" applyBorder="1" applyAlignment="1">
      <alignment horizontal="center"/>
    </xf>
    <xf numFmtId="0" fontId="39" fillId="20" borderId="6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6" fillId="10" borderId="0" xfId="0" applyFont="1" applyFill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20" borderId="11" xfId="0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3" fontId="5" fillId="6" borderId="9" xfId="0" applyNumberFormat="1" applyFont="1" applyFill="1" applyBorder="1" applyAlignment="1">
      <alignment horizontal="center"/>
    </xf>
    <xf numFmtId="3" fontId="5" fillId="6" borderId="4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3" fontId="0" fillId="6" borderId="13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31" xfId="0" applyNumberFormat="1" applyFill="1" applyBorder="1" applyAlignment="1">
      <alignment horizontal="center"/>
    </xf>
    <xf numFmtId="4" fontId="14" fillId="20" borderId="7" xfId="0" applyNumberFormat="1" applyFont="1" applyFill="1" applyBorder="1" applyAlignment="1">
      <alignment horizontal="center"/>
    </xf>
    <xf numFmtId="4" fontId="14" fillId="20" borderId="5" xfId="0" applyNumberFormat="1" applyFont="1" applyFill="1" applyBorder="1" applyAlignment="1">
      <alignment horizontal="center"/>
    </xf>
    <xf numFmtId="4" fontId="14" fillId="20" borderId="8" xfId="0" applyNumberFormat="1" applyFont="1" applyFill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3" fontId="0" fillId="6" borderId="14" xfId="0" applyNumberFormat="1" applyFill="1" applyBorder="1" applyAlignment="1">
      <alignment horizontal="center"/>
    </xf>
    <xf numFmtId="4" fontId="0" fillId="6" borderId="17" xfId="0" applyNumberFormat="1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4" fontId="0" fillId="6" borderId="14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37" fillId="20" borderId="0" xfId="0" applyNumberFormat="1" applyFont="1" applyFill="1" applyAlignment="1">
      <alignment horizontal="center"/>
    </xf>
    <xf numFmtId="4" fontId="38" fillId="20" borderId="0" xfId="0" applyNumberFormat="1" applyFont="1" applyFill="1" applyAlignment="1">
      <alignment horizontal="center"/>
    </xf>
    <xf numFmtId="4" fontId="0" fillId="0" borderId="1" xfId="0" applyNumberForma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14" fillId="20" borderId="1" xfId="0" applyNumberFormat="1" applyFont="1" applyFill="1" applyBorder="1" applyAlignment="1">
      <alignment horizontal="center"/>
    </xf>
    <xf numFmtId="4" fontId="14" fillId="20" borderId="0" xfId="0" applyNumberFormat="1" applyFont="1" applyFill="1" applyAlignment="1">
      <alignment horizontal="center"/>
    </xf>
    <xf numFmtId="4" fontId="26" fillId="20" borderId="0" xfId="0" applyNumberFormat="1" applyFont="1" applyFill="1" applyAlignment="1">
      <alignment horizontal="center"/>
    </xf>
    <xf numFmtId="171" fontId="0" fillId="0" borderId="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38" fillId="20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4" fontId="5" fillId="6" borderId="13" xfId="0" applyNumberFormat="1" applyFont="1" applyFill="1" applyBorder="1" applyAlignment="1">
      <alignment horizontal="center"/>
    </xf>
    <xf numFmtId="4" fontId="5" fillId="6" borderId="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Likviditetsgrad</a:t>
            </a:r>
            <a:r>
              <a:rPr lang="nb-NO" baseline="0"/>
              <a:t>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'Nøkkeltall konkurrenter'!$G$38</c:f>
              <c:strCache>
                <c:ptCount val="1"/>
                <c:pt idx="0">
                  <c:v>Miljø likviditet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konkurrenter'!$H$37:$N$37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'Nøkkeltall konkurrenter'!$H$38:$N$38</c:f>
              <c:numCache>
                <c:formatCode>0.00</c:formatCode>
                <c:ptCount val="7"/>
                <c:pt idx="0">
                  <c:v>2.3767021906453523</c:v>
                </c:pt>
                <c:pt idx="1">
                  <c:v>2.7570844686648504</c:v>
                </c:pt>
                <c:pt idx="2">
                  <c:v>2.8520420640743458</c:v>
                </c:pt>
                <c:pt idx="3">
                  <c:v>2.2275472586085181</c:v>
                </c:pt>
                <c:pt idx="4">
                  <c:v>0.83756613756613751</c:v>
                </c:pt>
                <c:pt idx="5">
                  <c:v>1.4373591707976565</c:v>
                </c:pt>
                <c:pt idx="6">
                  <c:v>1.388713888377749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F-D74D-A7E6-574F8BD92E00}"/>
            </c:ext>
          </c:extLst>
        </c:ser>
        <c:ser>
          <c:idx val="1"/>
          <c:order val="1"/>
          <c:tx>
            <c:strRef>
              <c:f>'Nøkkeltall konkurrenter'!$G$39</c:f>
              <c:strCache>
                <c:ptCount val="1"/>
                <c:pt idx="0">
                  <c:v>Bransjegjennomsnitt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konkurrenter'!$H$37:$N$37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'Nøkkeltall konkurrenter'!$H$39:$N$39</c:f>
              <c:numCache>
                <c:formatCode>0.00</c:formatCode>
                <c:ptCount val="7"/>
                <c:pt idx="0">
                  <c:v>1.3716666666666668</c:v>
                </c:pt>
                <c:pt idx="1">
                  <c:v>1.4383333333333332</c:v>
                </c:pt>
                <c:pt idx="2">
                  <c:v>1.0816666666666668</c:v>
                </c:pt>
                <c:pt idx="3">
                  <c:v>1.0650000000000002</c:v>
                </c:pt>
                <c:pt idx="4">
                  <c:v>1.28</c:v>
                </c:pt>
                <c:pt idx="5">
                  <c:v>1.085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F-D74D-A7E6-574F8BD9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201584"/>
        <c:axId val="2045141216"/>
      </c:lineChart>
      <c:catAx>
        <c:axId val="40020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5141216"/>
        <c:crosses val="autoZero"/>
        <c:auto val="1"/>
        <c:lblAlgn val="ctr"/>
        <c:lblOffset val="100"/>
        <c:noMultiLvlLbl val="0"/>
      </c:catAx>
      <c:valAx>
        <c:axId val="204514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020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Vekstanalyse!$B$4</c:f>
              <c:strCache>
                <c:ptCount val="1"/>
                <c:pt idx="0">
                  <c:v>Salgsinntekter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Vekstanalyse!$C$3:$I$3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Vekstanalyse!$C$4:$I$4</c:f>
              <c:numCache>
                <c:formatCode>General</c:formatCode>
                <c:ptCount val="7"/>
                <c:pt idx="0">
                  <c:v>65528</c:v>
                </c:pt>
                <c:pt idx="1">
                  <c:v>69625</c:v>
                </c:pt>
                <c:pt idx="2">
                  <c:v>63393</c:v>
                </c:pt>
                <c:pt idx="3">
                  <c:v>72213</c:v>
                </c:pt>
                <c:pt idx="4">
                  <c:v>74004</c:v>
                </c:pt>
                <c:pt idx="5">
                  <c:v>92311</c:v>
                </c:pt>
                <c:pt idx="6">
                  <c:v>126596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A-0F46-9D19-EA01DAFC4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699344"/>
        <c:axId val="2110290464"/>
      </c:barChart>
      <c:lineChart>
        <c:grouping val="standard"/>
        <c:varyColors val="0"/>
        <c:ser>
          <c:idx val="1"/>
          <c:order val="1"/>
          <c:tx>
            <c:strRef>
              <c:f>Vekstanalyse!$B$5</c:f>
              <c:strCache>
                <c:ptCount val="1"/>
                <c:pt idx="0">
                  <c:v>Salgsvekst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Vekstanalyse!$C$3:$I$3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Vekstanalyse!$C$5:$I$5</c:f>
              <c:numCache>
                <c:formatCode>0.00%</c:formatCode>
                <c:ptCount val="7"/>
                <c:pt idx="0">
                  <c:v>1.651202539372482E-2</c:v>
                </c:pt>
                <c:pt idx="1">
                  <c:v>5.8843806104129266E-2</c:v>
                </c:pt>
                <c:pt idx="2">
                  <c:v>-9.8307384096035844E-2</c:v>
                </c:pt>
                <c:pt idx="3">
                  <c:v>0.12213867309210252</c:v>
                </c:pt>
                <c:pt idx="4">
                  <c:v>2.4201394519215179E-2</c:v>
                </c:pt>
                <c:pt idx="5">
                  <c:v>0.19831872691228564</c:v>
                </c:pt>
                <c:pt idx="6">
                  <c:v>0.27082214287971185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A-0F46-9D19-EA01DAFC4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44623"/>
        <c:axId val="165147615"/>
      </c:lineChart>
      <c:catAx>
        <c:axId val="211069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0290464"/>
        <c:crosses val="autoZero"/>
        <c:auto val="1"/>
        <c:lblAlgn val="ctr"/>
        <c:lblOffset val="100"/>
        <c:noMultiLvlLbl val="0"/>
      </c:catAx>
      <c:valAx>
        <c:axId val="21102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0699344"/>
        <c:crosses val="autoZero"/>
        <c:crossBetween val="between"/>
      </c:valAx>
      <c:valAx>
        <c:axId val="165147615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744623"/>
        <c:crosses val="max"/>
        <c:crossBetween val="between"/>
      </c:valAx>
      <c:catAx>
        <c:axId val="16474462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51476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785651261594584"/>
          <c:y val="0.13029532308811717"/>
          <c:w val="0.84773369508979479"/>
          <c:h val="0.62183091201049601"/>
        </c:manualLayout>
      </c:layout>
      <c:lineChart>
        <c:grouping val="standard"/>
        <c:varyColors val="0"/>
        <c:ser>
          <c:idx val="0"/>
          <c:order val="0"/>
          <c:tx>
            <c:strRef>
              <c:f>Vekstanalyse!$V$73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Vekstanalyse!$W$72:$AB$72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Vekstanalyse!$W$73:$AB$73</c:f>
              <c:numCache>
                <c:formatCode>0.00%</c:formatCode>
                <c:ptCount val="6"/>
                <c:pt idx="0">
                  <c:v>7.3511228717119861E-2</c:v>
                </c:pt>
                <c:pt idx="1">
                  <c:v>7.1213076787347923E-2</c:v>
                </c:pt>
                <c:pt idx="2">
                  <c:v>0.10584434359630848</c:v>
                </c:pt>
                <c:pt idx="3">
                  <c:v>0.13157578272072204</c:v>
                </c:pt>
                <c:pt idx="4">
                  <c:v>3.3584776524240606E-2</c:v>
                </c:pt>
                <c:pt idx="5">
                  <c:v>6.3477853379180577E-2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D-7547-B6C4-324C913C11DA}"/>
            </c:ext>
          </c:extLst>
        </c:ser>
        <c:ser>
          <c:idx val="1"/>
          <c:order val="1"/>
          <c:tx>
            <c:strRef>
              <c:f>Vekstanalyse!$V$74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Vekstanalyse!$W$72:$AB$72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Vekstanalyse!$W$74:$AB$74</c:f>
              <c:numCache>
                <c:formatCode>0.00%</c:formatCode>
                <c:ptCount val="6"/>
                <c:pt idx="0">
                  <c:v>6.1877606319032649E-2</c:v>
                </c:pt>
                <c:pt idx="1">
                  <c:v>6.1877606319032649E-2</c:v>
                </c:pt>
                <c:pt idx="2">
                  <c:v>6.1877606319032649E-2</c:v>
                </c:pt>
                <c:pt idx="3">
                  <c:v>6.1877606319032649E-2</c:v>
                </c:pt>
                <c:pt idx="4">
                  <c:v>6.1877606319032649E-2</c:v>
                </c:pt>
                <c:pt idx="5">
                  <c:v>6.1877606319032649E-2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D-7547-B6C4-324C913C1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252319"/>
        <c:axId val="214991919"/>
      </c:lineChart>
      <c:catAx>
        <c:axId val="21525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991919"/>
        <c:crosses val="autoZero"/>
        <c:auto val="1"/>
        <c:lblAlgn val="ctr"/>
        <c:lblOffset val="100"/>
        <c:noMultiLvlLbl val="0"/>
      </c:catAx>
      <c:valAx>
        <c:axId val="21499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5252319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Likviditetsgrad</a:t>
            </a:r>
            <a:r>
              <a:rPr lang="nb-NO" baseline="0"/>
              <a:t> 2</a:t>
            </a:r>
          </a:p>
        </c:rich>
      </c:tx>
      <c:layout>
        <c:manualLayout>
          <c:xMode val="edge"/>
          <c:yMode val="edge"/>
          <c:x val="0.3325067804024497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'Nøkkeltall konkurrenter'!$G$43</c:f>
              <c:strCache>
                <c:ptCount val="1"/>
                <c:pt idx="0">
                  <c:v>Miljø likviditetsgrad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konkurrenter'!$H$42:$N$42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'Nøkkeltall konkurrenter'!$H$43:$N$43</c:f>
              <c:numCache>
                <c:formatCode>0.00</c:formatCode>
                <c:ptCount val="7"/>
                <c:pt idx="0">
                  <c:v>1.7833037300177619</c:v>
                </c:pt>
                <c:pt idx="1">
                  <c:v>2.1166212534059947</c:v>
                </c:pt>
                <c:pt idx="2">
                  <c:v>2.3302763511861091</c:v>
                </c:pt>
                <c:pt idx="3">
                  <c:v>1.8650874578398307</c:v>
                </c:pt>
                <c:pt idx="4">
                  <c:v>0.52719576719576722</c:v>
                </c:pt>
                <c:pt idx="5">
                  <c:v>1.0593735917079765</c:v>
                </c:pt>
                <c:pt idx="6">
                  <c:v>1.0518120002445031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8-2443-82F9-B861597A373C}"/>
            </c:ext>
          </c:extLst>
        </c:ser>
        <c:ser>
          <c:idx val="1"/>
          <c:order val="1"/>
          <c:tx>
            <c:strRef>
              <c:f>'Nøkkeltall konkurrenter'!$G$44</c:f>
              <c:strCache>
                <c:ptCount val="1"/>
                <c:pt idx="0">
                  <c:v>Bransjegjennomsnitt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konkurrenter'!$H$42:$N$42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'Nøkkeltall konkurrenter'!$H$44:$N$44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1.18</c:v>
                </c:pt>
                <c:pt idx="2">
                  <c:v>0.85</c:v>
                </c:pt>
                <c:pt idx="3">
                  <c:v>0.85</c:v>
                </c:pt>
                <c:pt idx="4">
                  <c:v>1</c:v>
                </c:pt>
                <c:pt idx="5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8-2443-82F9-B861597A3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25632"/>
        <c:axId val="2040202800"/>
      </c:lineChart>
      <c:catAx>
        <c:axId val="3971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0202800"/>
        <c:crosses val="autoZero"/>
        <c:auto val="1"/>
        <c:lblAlgn val="ctr"/>
        <c:lblOffset val="100"/>
        <c:noMultiLvlLbl val="0"/>
      </c:catAx>
      <c:valAx>
        <c:axId val="20402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71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Historisk</a:t>
            </a:r>
            <a:r>
              <a:rPr lang="nb-NO" baseline="0"/>
              <a:t> avkastning på investert kapital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'Nøkkeltall konkurrenter'!$U$56</c:f>
              <c:strCache>
                <c:ptCount val="1"/>
                <c:pt idx="0">
                  <c:v>ROIC Miljøgartneriet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konkurrenter'!$V$55:$AA$55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'Nøkkeltall konkurrenter'!$V$56:$AA$56</c:f>
              <c:numCache>
                <c:formatCode>0.00%</c:formatCode>
                <c:ptCount val="6"/>
                <c:pt idx="0">
                  <c:v>7.3511228717119861E-2</c:v>
                </c:pt>
                <c:pt idx="1">
                  <c:v>7.1213076787347923E-2</c:v>
                </c:pt>
                <c:pt idx="2">
                  <c:v>0.10584434359630848</c:v>
                </c:pt>
                <c:pt idx="3">
                  <c:v>0.13157578272072204</c:v>
                </c:pt>
                <c:pt idx="4">
                  <c:v>3.3584776524240606E-2</c:v>
                </c:pt>
                <c:pt idx="5">
                  <c:v>6.3477853379180577E-2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A-4C49-A1EC-7F729C241F73}"/>
            </c:ext>
          </c:extLst>
        </c:ser>
        <c:ser>
          <c:idx val="1"/>
          <c:order val="1"/>
          <c:tx>
            <c:strRef>
              <c:f>'Nøkkeltall konkurrenter'!$U$57</c:f>
              <c:strCache>
                <c:ptCount val="1"/>
                <c:pt idx="0">
                  <c:v>ROIC Skavland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konkurrenter'!$V$55:$AA$55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'Nøkkeltall konkurrenter'!$V$57:$Z$57</c:f>
              <c:numCache>
                <c:formatCode>0.00%</c:formatCode>
                <c:ptCount val="5"/>
                <c:pt idx="0">
                  <c:v>6.6712431852750387E-2</c:v>
                </c:pt>
                <c:pt idx="1">
                  <c:v>3.2865952171669106E-2</c:v>
                </c:pt>
                <c:pt idx="2">
                  <c:v>0.17982334898003322</c:v>
                </c:pt>
                <c:pt idx="3">
                  <c:v>0.18613411459876311</c:v>
                </c:pt>
                <c:pt idx="4">
                  <c:v>0.18893953527145346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A-4C49-A1EC-7F729C241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49248"/>
        <c:axId val="2119914304"/>
      </c:lineChart>
      <c:catAx>
        <c:axId val="4054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9914304"/>
        <c:crosses val="autoZero"/>
        <c:auto val="1"/>
        <c:lblAlgn val="ctr"/>
        <c:lblOffset val="100"/>
        <c:noMultiLvlLbl val="0"/>
      </c:catAx>
      <c:valAx>
        <c:axId val="21199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54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'Nøkkeltall konkurrenter'!$U$67</c:f>
              <c:strCache>
                <c:ptCount val="1"/>
                <c:pt idx="0">
                  <c:v>Kapitalens omløpshastighet Miljøgartneriet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konkurrenter'!$V$66:$AA$66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'Nøkkeltall konkurrenter'!$V$67:$AA$67</c:f>
              <c:numCache>
                <c:formatCode>0.00</c:formatCode>
                <c:ptCount val="6"/>
                <c:pt idx="0">
                  <c:v>0.74573799218526082</c:v>
                </c:pt>
                <c:pt idx="1">
                  <c:v>0.85704519791253397</c:v>
                </c:pt>
                <c:pt idx="2">
                  <c:v>0.84577788075633198</c:v>
                </c:pt>
                <c:pt idx="3">
                  <c:v>1.0517169088579812</c:v>
                </c:pt>
                <c:pt idx="4">
                  <c:v>0.89979109335872332</c:v>
                </c:pt>
                <c:pt idx="5">
                  <c:v>0.80665568882919647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1-FD44-ABDD-4089A527EF6B}"/>
            </c:ext>
          </c:extLst>
        </c:ser>
        <c:ser>
          <c:idx val="1"/>
          <c:order val="1"/>
          <c:tx>
            <c:strRef>
              <c:f>'Nøkkeltall konkurrenter'!$U$68</c:f>
              <c:strCache>
                <c:ptCount val="1"/>
                <c:pt idx="0">
                  <c:v>Kapitalens omløpshastighet Skavland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'Nøkkeltall konkurrenter'!$V$66:$AA$66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'Nøkkeltall konkurrenter'!$V$68:$AA$68</c:f>
              <c:numCache>
                <c:formatCode>0.00</c:formatCode>
                <c:ptCount val="6"/>
                <c:pt idx="0">
                  <c:v>1.324009858428383</c:v>
                </c:pt>
                <c:pt idx="1">
                  <c:v>1.2789779187361618</c:v>
                </c:pt>
                <c:pt idx="2">
                  <c:v>1.1199979535629321</c:v>
                </c:pt>
                <c:pt idx="3">
                  <c:v>1.5726231432610775</c:v>
                </c:pt>
                <c:pt idx="4">
                  <c:v>1.2799853432543036</c:v>
                </c:pt>
                <c:pt idx="5">
                  <c:v>1.6610331001135643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1-FD44-ABDD-4089A527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99664"/>
        <c:axId val="2015611632"/>
      </c:lineChart>
      <c:catAx>
        <c:axId val="20161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5611632"/>
        <c:crosses val="autoZero"/>
        <c:auto val="1"/>
        <c:lblAlgn val="ctr"/>
        <c:lblOffset val="100"/>
        <c:noMultiLvlLbl val="0"/>
      </c:catAx>
      <c:valAx>
        <c:axId val="20156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61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Lønnsomhetsanalyse!$B$36</c:f>
              <c:strCache>
                <c:ptCount val="1"/>
                <c:pt idx="0">
                  <c:v>ROIC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Lønnsomhetsanalyse!$C$35:$G$35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Lønnsomhetsanalyse!$C$36:$G$36</c:f>
              <c:numCache>
                <c:formatCode>0.00%</c:formatCode>
                <c:ptCount val="5"/>
                <c:pt idx="0">
                  <c:v>7.3511228717119861E-2</c:v>
                </c:pt>
                <c:pt idx="1">
                  <c:v>7.1213076787347923E-2</c:v>
                </c:pt>
                <c:pt idx="2">
                  <c:v>0.10584434359630848</c:v>
                </c:pt>
                <c:pt idx="3">
                  <c:v>0.13157578272072204</c:v>
                </c:pt>
                <c:pt idx="4">
                  <c:v>3.3584776524240606E-2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5-E443-991E-46BCE4CC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663696"/>
        <c:axId val="2040187808"/>
      </c:barChart>
      <c:lineChart>
        <c:grouping val="standard"/>
        <c:varyColors val="0"/>
        <c:ser>
          <c:idx val="1"/>
          <c:order val="1"/>
          <c:tx>
            <c:strRef>
              <c:f>Lønnsomhetsanalyse!$B$37</c:f>
              <c:strCache>
                <c:ptCount val="1"/>
                <c:pt idx="0">
                  <c:v>Capital turnover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Lønnsomhetsanalyse!$C$35:$G$35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Lønnsomhetsanalyse!$C$37:$G$37</c:f>
              <c:numCache>
                <c:formatCode>0.00</c:formatCode>
                <c:ptCount val="5"/>
                <c:pt idx="0">
                  <c:v>0.85704519791253397</c:v>
                </c:pt>
                <c:pt idx="1">
                  <c:v>0.84577788075633198</c:v>
                </c:pt>
                <c:pt idx="2">
                  <c:v>1.0517169088579812</c:v>
                </c:pt>
                <c:pt idx="3">
                  <c:v>0.89979109335872332</c:v>
                </c:pt>
                <c:pt idx="4">
                  <c:v>0.80665568882919647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5-E443-991E-46BCE4CC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242688"/>
        <c:axId val="2017751168"/>
      </c:lineChart>
      <c:catAx>
        <c:axId val="37366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0187808"/>
        <c:crosses val="autoZero"/>
        <c:auto val="1"/>
        <c:lblAlgn val="ctr"/>
        <c:lblOffset val="100"/>
        <c:noMultiLvlLbl val="0"/>
      </c:catAx>
      <c:valAx>
        <c:axId val="20401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3663696"/>
        <c:crosses val="autoZero"/>
        <c:crossBetween val="between"/>
      </c:valAx>
      <c:valAx>
        <c:axId val="201775116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0242688"/>
        <c:crosses val="max"/>
        <c:crossBetween val="between"/>
      </c:valAx>
      <c:catAx>
        <c:axId val="20402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7751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Historisk</a:t>
            </a:r>
            <a:r>
              <a:rPr lang="nb-NO" baseline="0"/>
              <a:t> profittmargin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Lønnsomhetsanalyse!$B$58</c:f>
              <c:strCache>
                <c:ptCount val="1"/>
                <c:pt idx="0">
                  <c:v>Profittmargin Miljøgartneriet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Lønnsomhetsanalyse!$C$57:$H$57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Lønnsomhetsanalyse!$C$58:$H$58</c:f>
              <c:numCache>
                <c:formatCode>0.00%</c:formatCode>
                <c:ptCount val="6"/>
                <c:pt idx="0">
                  <c:v>8.9063303089650284E-2</c:v>
                </c:pt>
                <c:pt idx="1">
                  <c:v>8.7969428193998875E-2</c:v>
                </c:pt>
                <c:pt idx="2">
                  <c:v>0.10528297716566977</c:v>
                </c:pt>
                <c:pt idx="3">
                  <c:v>0.13398411140833141</c:v>
                </c:pt>
                <c:pt idx="4">
                  <c:v>3.5763761048132718E-2</c:v>
                </c:pt>
                <c:pt idx="5">
                  <c:v>5.7984794839466516E-2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8-8146-AE0D-E2C0B5D3205A}"/>
            </c:ext>
          </c:extLst>
        </c:ser>
        <c:ser>
          <c:idx val="1"/>
          <c:order val="1"/>
          <c:tx>
            <c:strRef>
              <c:f>Lønnsomhetsanalyse!$B$59</c:f>
              <c:strCache>
                <c:ptCount val="1"/>
                <c:pt idx="0">
                  <c:v>Profittmargin Skavland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Lønnsomhetsanalyse!$C$57:$H$57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Lønnsomhetsanalyse!$C$59:$G$59</c:f>
              <c:numCache>
                <c:formatCode>0.00%</c:formatCode>
                <c:ptCount val="5"/>
                <c:pt idx="0">
                  <c:v>4.5699729450955115E-2</c:v>
                </c:pt>
                <c:pt idx="1">
                  <c:v>2.5630305906457859E-2</c:v>
                </c:pt>
                <c:pt idx="2">
                  <c:v>9.6886497834602459E-2</c:v>
                </c:pt>
                <c:pt idx="3">
                  <c:v>0.12397885208657446</c:v>
                </c:pt>
                <c:pt idx="4">
                  <c:v>0.10875364464311682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8-8146-AE0D-E2C0B5D3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046047"/>
        <c:axId val="668002879"/>
      </c:lineChart>
      <c:catAx>
        <c:axId val="66804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002879"/>
        <c:crosses val="autoZero"/>
        <c:auto val="1"/>
        <c:lblAlgn val="ctr"/>
        <c:lblOffset val="100"/>
        <c:noMultiLvlLbl val="0"/>
      </c:catAx>
      <c:valAx>
        <c:axId val="66800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804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3053871080675"/>
          <c:y val="7.6060962490588677E-2"/>
          <c:w val="0.72677652509442325"/>
          <c:h val="0.4259722905730533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Lønnsomhetsanalyse!$B$60</c:f>
              <c:strCache>
                <c:ptCount val="1"/>
                <c:pt idx="0">
                  <c:v>Omløpshastighet Miljøgartneriet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Lønnsomhetsanalyse!$C$57:$H$57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Lønnsomhetsanalyse!$C$60:$H$60</c:f>
              <c:numCache>
                <c:formatCode>0.00</c:formatCode>
                <c:ptCount val="6"/>
                <c:pt idx="0">
                  <c:v>0.85704519791253397</c:v>
                </c:pt>
                <c:pt idx="1">
                  <c:v>0.84577788075633198</c:v>
                </c:pt>
                <c:pt idx="2">
                  <c:v>1.0517169088579812</c:v>
                </c:pt>
                <c:pt idx="3">
                  <c:v>0.89979109335872332</c:v>
                </c:pt>
                <c:pt idx="4">
                  <c:v>0.80665568882919647</c:v>
                </c:pt>
                <c:pt idx="5">
                  <c:v>1.0693579678098863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1-794D-B23A-AACBB50F4F8A}"/>
            </c:ext>
          </c:extLst>
        </c:ser>
        <c:ser>
          <c:idx val="3"/>
          <c:order val="3"/>
          <c:tx>
            <c:strRef>
              <c:f>Lønnsomhetsanalyse!$B$61</c:f>
              <c:strCache>
                <c:ptCount val="1"/>
                <c:pt idx="0">
                  <c:v>Omløpshastighet Skavland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Lønnsomhetsanalyse!$C$57:$H$57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Lønnsomhetsanalyse!$C$61:$G$61</c:f>
              <c:numCache>
                <c:formatCode>0.00</c:formatCode>
                <c:ptCount val="5"/>
                <c:pt idx="0">
                  <c:v>1.2789779187361618</c:v>
                </c:pt>
                <c:pt idx="1">
                  <c:v>1.1199979535629321</c:v>
                </c:pt>
                <c:pt idx="2">
                  <c:v>1.5726231432610775</c:v>
                </c:pt>
                <c:pt idx="3">
                  <c:v>1.2799853432543036</c:v>
                </c:pt>
                <c:pt idx="4">
                  <c:v>1.6610331001135643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01-794D-B23A-AACBB50F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681055759"/>
        <c:axId val="678565039"/>
      </c:barChart>
      <c:lineChart>
        <c:grouping val="standard"/>
        <c:varyColors val="0"/>
        <c:ser>
          <c:idx val="0"/>
          <c:order val="0"/>
          <c:tx>
            <c:strRef>
              <c:f>Lønnsomhetsanalyse!$B$58</c:f>
              <c:strCache>
                <c:ptCount val="1"/>
                <c:pt idx="0">
                  <c:v>Profittmargin Miljøgartneriet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Lønnsomhetsanalyse!$D$57:$H$57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Lønnsomhetsanalyse!$C$58:$H$58</c:f>
              <c:numCache>
                <c:formatCode>0.00%</c:formatCode>
                <c:ptCount val="6"/>
                <c:pt idx="0">
                  <c:v>8.9063303089650284E-2</c:v>
                </c:pt>
                <c:pt idx="1">
                  <c:v>8.7969428193998875E-2</c:v>
                </c:pt>
                <c:pt idx="2">
                  <c:v>0.10528297716566977</c:v>
                </c:pt>
                <c:pt idx="3">
                  <c:v>0.13398411140833141</c:v>
                </c:pt>
                <c:pt idx="4">
                  <c:v>3.5763761048132718E-2</c:v>
                </c:pt>
                <c:pt idx="5">
                  <c:v>5.7984794839466516E-2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1-794D-B23A-AACBB50F4F8A}"/>
            </c:ext>
          </c:extLst>
        </c:ser>
        <c:ser>
          <c:idx val="1"/>
          <c:order val="1"/>
          <c:tx>
            <c:strRef>
              <c:f>Lønnsomhetsanalyse!$B$59</c:f>
              <c:strCache>
                <c:ptCount val="1"/>
                <c:pt idx="0">
                  <c:v>Profittmargin Skavland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Lønnsomhetsanalyse!$D$57:$H$57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Lønnsomhetsanalyse!$C$59:$G$59</c:f>
              <c:numCache>
                <c:formatCode>0.00%</c:formatCode>
                <c:ptCount val="5"/>
                <c:pt idx="0">
                  <c:v>4.5699729450955115E-2</c:v>
                </c:pt>
                <c:pt idx="1">
                  <c:v>2.5630305906457859E-2</c:v>
                </c:pt>
                <c:pt idx="2">
                  <c:v>9.6886497834602459E-2</c:v>
                </c:pt>
                <c:pt idx="3">
                  <c:v>0.12397885208657446</c:v>
                </c:pt>
                <c:pt idx="4">
                  <c:v>0.10875364464311682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1-794D-B23A-AACBB50F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35551"/>
        <c:axId val="667803807"/>
      </c:lineChart>
      <c:catAx>
        <c:axId val="68105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8565039"/>
        <c:crosses val="autoZero"/>
        <c:auto val="1"/>
        <c:lblAlgn val="ctr"/>
        <c:lblOffset val="100"/>
        <c:noMultiLvlLbl val="0"/>
      </c:catAx>
      <c:valAx>
        <c:axId val="67856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Omløpshastighet</a:t>
                </a:r>
              </a:p>
            </c:rich>
          </c:tx>
          <c:layout>
            <c:manualLayout>
              <c:xMode val="edge"/>
              <c:yMode val="edge"/>
              <c:x val="2.8027690573013998E-2"/>
              <c:y val="0.11327531011956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1055759"/>
        <c:crosses val="autoZero"/>
        <c:crossBetween val="between"/>
        <c:majorUnit val="0.5"/>
        <c:minorUnit val="0.1"/>
      </c:valAx>
      <c:valAx>
        <c:axId val="66780380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Profittmargin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2935551"/>
        <c:crosses val="max"/>
        <c:crossBetween val="between"/>
        <c:majorUnit val="3.0000000000000006E-2"/>
      </c:valAx>
      <c:catAx>
        <c:axId val="68293555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78038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Lønnsomhetsanalyse!$B$84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Lønnsomhetsanalyse!$C$83:$H$83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Lønnsomhetsanalyse!$C$84:$H$84</c:f>
              <c:numCache>
                <c:formatCode>0.00%</c:formatCode>
                <c:ptCount val="6"/>
                <c:pt idx="0">
                  <c:v>7.3511228717119861E-2</c:v>
                </c:pt>
                <c:pt idx="1">
                  <c:v>7.1213076787347923E-2</c:v>
                </c:pt>
                <c:pt idx="2">
                  <c:v>0.10584434359630848</c:v>
                </c:pt>
                <c:pt idx="3">
                  <c:v>0.13157578272072204</c:v>
                </c:pt>
                <c:pt idx="4">
                  <c:v>3.3584776524240606E-2</c:v>
                </c:pt>
                <c:pt idx="5">
                  <c:v>6.3477853379180577E-2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7-FE40-A27D-548743A5A741}"/>
            </c:ext>
          </c:extLst>
        </c:ser>
        <c:ser>
          <c:idx val="1"/>
          <c:order val="1"/>
          <c:tx>
            <c:strRef>
              <c:f>Lønnsomhetsanalyse!$B$85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Lønnsomhetsanalyse!$C$83:$H$83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Lønnsomhetsanalyse!$C$85:$H$85</c:f>
              <c:numCache>
                <c:formatCode>0.00%</c:formatCode>
                <c:ptCount val="6"/>
                <c:pt idx="0">
                  <c:v>6.1877606319032649E-2</c:v>
                </c:pt>
                <c:pt idx="1">
                  <c:v>6.1877606319032649E-2</c:v>
                </c:pt>
                <c:pt idx="2">
                  <c:v>6.1877606319032649E-2</c:v>
                </c:pt>
                <c:pt idx="3">
                  <c:v>6.1877606319032649E-2</c:v>
                </c:pt>
                <c:pt idx="4">
                  <c:v>6.1877606319032649E-2</c:v>
                </c:pt>
                <c:pt idx="5">
                  <c:v>6.1877606319032649E-2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7-FE40-A27D-548743A5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323359"/>
        <c:axId val="1482790207"/>
      </c:lineChart>
      <c:catAx>
        <c:axId val="155232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82790207"/>
        <c:crosses val="autoZero"/>
        <c:auto val="1"/>
        <c:lblAlgn val="ctr"/>
        <c:lblOffset val="100"/>
        <c:noMultiLvlLbl val="0"/>
      </c:catAx>
      <c:valAx>
        <c:axId val="148279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5232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Likviditetsanalyse!$P$31</c:f>
              <c:strCache>
                <c:ptCount val="1"/>
                <c:pt idx="0">
                  <c:v>Varelagertid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Likviditetsanalyse!$Q$30:$W$30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Likviditetsanalyse!$Q$31:$W$31</c:f>
              <c:numCache>
                <c:formatCode>0.00</c:formatCode>
                <c:ptCount val="7"/>
                <c:pt idx="0">
                  <c:v>94.790762453844664</c:v>
                </c:pt>
                <c:pt idx="1">
                  <c:v>97.948681356319213</c:v>
                </c:pt>
                <c:pt idx="2">
                  <c:v>115.47823830355156</c:v>
                </c:pt>
                <c:pt idx="3">
                  <c:v>99.093179014158977</c:v>
                </c:pt>
                <c:pt idx="4">
                  <c:v>117.08262700278887</c:v>
                </c:pt>
                <c:pt idx="5">
                  <c:v>100.35854777905261</c:v>
                </c:pt>
                <c:pt idx="6">
                  <c:v>73.280120948248452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D743-80F9-11D8222CBE7D}"/>
            </c:ext>
          </c:extLst>
        </c:ser>
        <c:ser>
          <c:idx val="1"/>
          <c:order val="1"/>
          <c:tx>
            <c:strRef>
              <c:f>Likviditetsanalyse!$P$32</c:f>
              <c:strCache>
                <c:ptCount val="1"/>
                <c:pt idx="0">
                  <c:v>Kundekredittid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Likviditetsanalyse!$Q$30:$W$30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Likviditetsanalyse!$Q$32:$W$32</c:f>
              <c:numCache>
                <c:formatCode>0.00</c:formatCode>
                <c:ptCount val="7"/>
                <c:pt idx="0">
                  <c:v>15.648564826076381</c:v>
                </c:pt>
                <c:pt idx="1">
                  <c:v>12.264232911248167</c:v>
                </c:pt>
                <c:pt idx="2">
                  <c:v>10.83726489274706</c:v>
                </c:pt>
                <c:pt idx="3">
                  <c:v>9.4992471439819877</c:v>
                </c:pt>
                <c:pt idx="4">
                  <c:v>10.64683505168497</c:v>
                </c:pt>
                <c:pt idx="5">
                  <c:v>50.972450989891165</c:v>
                </c:pt>
                <c:pt idx="6">
                  <c:v>53.916146372006835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B-D743-80F9-11D8222C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96981312"/>
        <c:axId val="397389632"/>
      </c:barChart>
      <c:lineChart>
        <c:grouping val="standard"/>
        <c:varyColors val="0"/>
        <c:ser>
          <c:idx val="2"/>
          <c:order val="2"/>
          <c:tx>
            <c:strRef>
              <c:f>Likviditetsanalyse!$P$33</c:f>
              <c:strCache>
                <c:ptCount val="1"/>
                <c:pt idx="0">
                  <c:v>Leverandørtid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Likviditetsanalyse!$Q$30:$W$30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Likviditetsanalyse!$Q$33:$W$33</c:f>
              <c:numCache>
                <c:formatCode>0</c:formatCode>
                <c:ptCount val="7"/>
                <c:pt idx="0">
                  <c:v>73.460102802594534</c:v>
                </c:pt>
                <c:pt idx="1">
                  <c:v>75.896348160351451</c:v>
                </c:pt>
                <c:pt idx="2">
                  <c:v>117.51417298705279</c:v>
                </c:pt>
                <c:pt idx="3">
                  <c:v>100.69798561151079</c:v>
                </c:pt>
                <c:pt idx="4">
                  <c:v>105.05055805857054</c:v>
                </c:pt>
                <c:pt idx="5">
                  <c:v>103.34293805449937</c:v>
                </c:pt>
                <c:pt idx="6">
                  <c:v>111.01389177418791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B-D743-80F9-11D8222CBE7D}"/>
            </c:ext>
          </c:extLst>
        </c:ser>
        <c:ser>
          <c:idx val="3"/>
          <c:order val="3"/>
          <c:tx>
            <c:strRef>
              <c:f>Likviditetsanalyse!$P$34</c:f>
              <c:strCache>
                <c:ptCount val="1"/>
                <c:pt idx="0">
                  <c:v>CCC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Likviditetsanalyse!$Q$30:$W$30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Likviditetsanalyse!$Q$34:$W$34</c:f>
              <c:numCache>
                <c:formatCode>0.00</c:formatCode>
                <c:ptCount val="7"/>
                <c:pt idx="0">
                  <c:v>36.979224477326511</c:v>
                </c:pt>
                <c:pt idx="1">
                  <c:v>34.316566107215934</c:v>
                </c:pt>
                <c:pt idx="2">
                  <c:v>8.8013302092458332</c:v>
                </c:pt>
                <c:pt idx="3">
                  <c:v>7.8944405466301788</c:v>
                </c:pt>
                <c:pt idx="4">
                  <c:v>22.678903995903298</c:v>
                </c:pt>
                <c:pt idx="5">
                  <c:v>47.988060714444401</c:v>
                </c:pt>
                <c:pt idx="6">
                  <c:v>16.182375546067377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EB-D743-80F9-11D8222C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81312"/>
        <c:axId val="397389632"/>
      </c:lineChart>
      <c:catAx>
        <c:axId val="39698131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7389632"/>
        <c:crosses val="autoZero"/>
        <c:auto val="1"/>
        <c:lblAlgn val="ctr"/>
        <c:lblOffset val="100"/>
        <c:noMultiLvlLbl val="0"/>
      </c:catAx>
      <c:valAx>
        <c:axId val="39738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698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565150</xdr:colOff>
      <xdr:row>44</xdr:row>
      <xdr:rowOff>31750</xdr:rowOff>
    </xdr:from>
    <xdr:to>
      <xdr:col>16</xdr:col>
      <xdr:colOff>133350</xdr:colOff>
      <xdr:row>58</xdr:row>
      <xdr:rowOff>133350</xdr:rowOff>
    </xdr:to>
    <xdr:graphicFrame macro="">
      <xdr:nvGraphicFramePr>
        <xdr:cNvPr id="11" name="Diagram 7">
          <a:extLst>
            <a:ext uri="{FF2B5EF4-FFF2-40B4-BE49-F238E27FC236}">
              <a16:creationId xmlns:a16="http://schemas.microsoft.com/office/drawing/2014/main" id="{7B474455-3A00-AD30-49DF-1668295E4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768350</xdr:colOff>
      <xdr:row>44</xdr:row>
      <xdr:rowOff>57150</xdr:rowOff>
    </xdr:from>
    <xdr:to>
      <xdr:col>10</xdr:col>
      <xdr:colOff>603250</xdr:colOff>
      <xdr:row>58</xdr:row>
      <xdr:rowOff>171450</xdr:rowOff>
    </xdr:to>
    <xdr:graphicFrame macro="">
      <xdr:nvGraphicFramePr>
        <xdr:cNvPr id="4" name="Diagram 8">
          <a:extLst>
            <a:ext uri="{FF2B5EF4-FFF2-40B4-BE49-F238E27FC236}">
              <a16:creationId xmlns:a16="http://schemas.microsoft.com/office/drawing/2014/main" id="{74423EA9-D071-E90D-B27E-9EC8ABCAD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834537</xdr:colOff>
      <xdr:row>42</xdr:row>
      <xdr:rowOff>174018</xdr:rowOff>
    </xdr:from>
    <xdr:to>
      <xdr:col>34</xdr:col>
      <xdr:colOff>793019</xdr:colOff>
      <xdr:row>55</xdr:row>
      <xdr:rowOff>181016</xdr:rowOff>
    </xdr:to>
    <xdr:graphicFrame macro="">
      <xdr:nvGraphicFramePr>
        <xdr:cNvPr id="16" name="Diagram 1">
          <a:extLst>
            <a:ext uri="{FF2B5EF4-FFF2-40B4-BE49-F238E27FC236}">
              <a16:creationId xmlns:a16="http://schemas.microsoft.com/office/drawing/2014/main" id="{98F229D5-2577-B7D9-7675-8ABB399F3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206196</xdr:colOff>
      <xdr:row>64</xdr:row>
      <xdr:rowOff>75899</xdr:rowOff>
    </xdr:from>
    <xdr:to>
      <xdr:col>33</xdr:col>
      <xdr:colOff>468544</xdr:colOff>
      <xdr:row>78</xdr:row>
      <xdr:rowOff>150148</xdr:rowOff>
    </xdr:to>
    <xdr:graphicFrame macro="">
      <xdr:nvGraphicFramePr>
        <xdr:cNvPr id="83" name="Diagram 2">
          <a:extLst>
            <a:ext uri="{FF2B5EF4-FFF2-40B4-BE49-F238E27FC236}">
              <a16:creationId xmlns:a16="http://schemas.microsoft.com/office/drawing/2014/main" id="{5B134F4E-8BC6-F8C5-2644-72B8C6EF60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703168</xdr:colOff>
      <xdr:row>7</xdr:row>
      <xdr:rowOff>17729</xdr:rowOff>
    </xdr:from>
    <xdr:to>
      <xdr:col>16</xdr:col>
      <xdr:colOff>349108</xdr:colOff>
      <xdr:row>23</xdr:row>
      <xdr:rowOff>126949</xdr:rowOff>
    </xdr:to>
    <xdr:graphicFrame macro="">
      <xdr:nvGraphicFramePr>
        <xdr:cNvPr id="46" name="Diagram 12">
          <a:extLst>
            <a:ext uri="{FF2B5EF4-FFF2-40B4-BE49-F238E27FC236}">
              <a16:creationId xmlns:a16="http://schemas.microsoft.com/office/drawing/2014/main" id="{C858A7B6-FE11-3294-20BD-8185E93E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29610</xdr:colOff>
      <xdr:row>50</xdr:row>
      <xdr:rowOff>157179</xdr:rowOff>
    </xdr:from>
    <xdr:to>
      <xdr:col>14</xdr:col>
      <xdr:colOff>493659</xdr:colOff>
      <xdr:row>65</xdr:row>
      <xdr:rowOff>42880</xdr:rowOff>
    </xdr:to>
    <xdr:graphicFrame macro="">
      <xdr:nvGraphicFramePr>
        <xdr:cNvPr id="28" name="Diagram 1">
          <a:extLst>
            <a:ext uri="{FF2B5EF4-FFF2-40B4-BE49-F238E27FC236}">
              <a16:creationId xmlns:a16="http://schemas.microsoft.com/office/drawing/2014/main" id="{063FE726-CC03-6102-58B4-25FF768A6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174135</xdr:colOff>
      <xdr:row>64</xdr:row>
      <xdr:rowOff>16872</xdr:rowOff>
    </xdr:from>
    <xdr:to>
      <xdr:col>6</xdr:col>
      <xdr:colOff>241556</xdr:colOff>
      <xdr:row>75</xdr:row>
      <xdr:rowOff>183854</xdr:rowOff>
    </xdr:to>
    <xdr:graphicFrame macro="">
      <xdr:nvGraphicFramePr>
        <xdr:cNvPr id="42" name="Diagram 6">
          <a:extLst>
            <a:ext uri="{FF2B5EF4-FFF2-40B4-BE49-F238E27FC236}">
              <a16:creationId xmlns:a16="http://schemas.microsoft.com/office/drawing/2014/main" id="{D1AC5DC8-39EE-C6C0-C771-27E9E985C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526991</xdr:colOff>
      <xdr:row>86</xdr:row>
      <xdr:rowOff>52699</xdr:rowOff>
    </xdr:from>
    <xdr:to>
      <xdr:col>6</xdr:col>
      <xdr:colOff>1217776</xdr:colOff>
      <xdr:row>100</xdr:row>
      <xdr:rowOff>137208</xdr:rowOff>
    </xdr:to>
    <xdr:graphicFrame macro="">
      <xdr:nvGraphicFramePr>
        <xdr:cNvPr id="44" name="Diagram 2">
          <a:extLst>
            <a:ext uri="{FF2B5EF4-FFF2-40B4-BE49-F238E27FC236}">
              <a16:creationId xmlns:a16="http://schemas.microsoft.com/office/drawing/2014/main" id="{7D44F29B-B147-393A-DD77-4171B77EE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0.75243</cdr:x>
      <cdr:y>0.54668</cdr:y>
    </cdr:from>
    <cdr:to>
      <cdr:x>0.80082</cdr:x>
      <cdr:y>0.59435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0CDBC918-4217-1F89-CB4B-3A22DD3282A8}"/>
            </a:ext>
          </a:extLst>
        </cdr:cNvPr>
        <cdr:cNvSpPr txBox="1"/>
      </cdr:nvSpPr>
      <cdr:spPr>
        <a:xfrm xmlns:a="http://schemas.openxmlformats.org/drawingml/2006/main">
          <a:off x="3949545" y="1262318"/>
          <a:ext cx="254000" cy="11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0.73076</cdr:x>
      <cdr:y>0.50856</cdr:y>
    </cdr:from>
    <cdr:to>
      <cdr:x>0.84751</cdr:x>
      <cdr:y>0.61647</cdr:y>
    </cdr:to>
    <cdr:sp macro="" textlink="">
      <cdr:nvSpPr>
        <cdr:cNvPr id="3" name="TekstSylinder 2">
          <a:extLst xmlns:a="http://schemas.openxmlformats.org/drawingml/2006/main">
            <a:ext uri="{FF2B5EF4-FFF2-40B4-BE49-F238E27FC236}">
              <a16:creationId xmlns:a16="http://schemas.microsoft.com/office/drawing/2014/main" id="{0C13A609-2455-ED4A-7A71-BD1197B1BEF2}"/>
            </a:ext>
          </a:extLst>
        </cdr:cNvPr>
        <cdr:cNvSpPr txBox="1"/>
      </cdr:nvSpPr>
      <cdr:spPr>
        <a:xfrm xmlns:a="http://schemas.openxmlformats.org/drawingml/2006/main">
          <a:off x="3829462" y="1167945"/>
          <a:ext cx="611769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900">
            <a:solidFill>
              <a:schemeClr val="tx1">
                <a:lumMod val="65000"/>
                <a:lumOff val="35000"/>
              </a:schemeClr>
            </a:solidFill>
          </a:endParaRPr>
        </a:p>
        <a:p xmlns:a="http://schemas.openxmlformats.org/drawingml/2006/main">
          <a:r>
            <a:rPr lang="nb-NO" sz="900">
              <a:solidFill>
                <a:schemeClr val="tx1">
                  <a:lumMod val="65000"/>
                  <a:lumOff val="35000"/>
                </a:schemeClr>
              </a:solidFill>
            </a:rPr>
            <a:t>2</a:t>
          </a:r>
        </a:p>
        <a:p xmlns:a="http://schemas.openxmlformats.org/drawingml/2006/main">
          <a:endParaRPr lang="nb-N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1111222</xdr:colOff>
      <xdr:row>39</xdr:row>
      <xdr:rowOff>97339</xdr:rowOff>
    </xdr:from>
    <xdr:to>
      <xdr:col>21</xdr:col>
      <xdr:colOff>231432</xdr:colOff>
      <xdr:row>53</xdr:row>
      <xdr:rowOff>182475</xdr:rowOff>
    </xdr:to>
    <xdr:graphicFrame macro="">
      <xdr:nvGraphicFramePr>
        <xdr:cNvPr id="7" name="Diagram 3">
          <a:extLst>
            <a:ext uri="{FF2B5EF4-FFF2-40B4-BE49-F238E27FC236}">
              <a16:creationId xmlns:a16="http://schemas.microsoft.com/office/drawing/2014/main" id="{3448E22F-4A2E-33B7-1EFA-375063FBC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270933</xdr:colOff>
      <xdr:row>0</xdr:row>
      <xdr:rowOff>135466</xdr:rowOff>
    </xdr:from>
    <xdr:to>
      <xdr:col>16</xdr:col>
      <xdr:colOff>728133</xdr:colOff>
      <xdr:row>18</xdr:row>
      <xdr:rowOff>33866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6138DEAC-7433-A1CC-CFD8-6D445D4C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750147</xdr:colOff>
      <xdr:row>66</xdr:row>
      <xdr:rowOff>42333</xdr:rowOff>
    </xdr:from>
    <xdr:to>
      <xdr:col>17</xdr:col>
      <xdr:colOff>357293</xdr:colOff>
      <xdr:row>80</xdr:row>
      <xdr:rowOff>59266</xdr:rowOff>
    </xdr:to>
    <xdr:graphicFrame macro="">
      <xdr:nvGraphicFramePr>
        <xdr:cNvPr id="100" name="Diagram 17">
          <a:extLst>
            <a:ext uri="{FF2B5EF4-FFF2-40B4-BE49-F238E27FC236}">
              <a16:creationId xmlns:a16="http://schemas.microsoft.com/office/drawing/2014/main" id="{A5D62954-B599-E358-62E2-EB8CF2DA1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8C4F-3382-C64B-9A5A-804EA13B2418}">
  <sheetPr codeName="Ark3"/>
  <dimension ref="B1:AB182"/>
  <sheetViews>
    <sheetView zoomScale="116" zoomScaleNormal="111" workbookViewId="0">
      <selection activeCell="J147" sqref="J147"/>
    </sheetView>
  </sheetViews>
  <sheetFormatPr defaultColWidth="11.44140625" defaultRowHeight="14.4"/>
  <cols>
    <col min="2" max="2" width="41.77734375" bestFit="1" customWidth="1"/>
    <col min="3" max="3" width="12.33203125" bestFit="1" customWidth="1"/>
    <col min="4" max="4" width="11.109375" bestFit="1" customWidth="1"/>
    <col min="5" max="7" width="12.109375" bestFit="1" customWidth="1"/>
    <col min="8" max="8" width="13.6640625" bestFit="1" customWidth="1"/>
    <col min="9" max="9" width="16" bestFit="1" customWidth="1"/>
    <col min="10" max="11" width="13.33203125" bestFit="1" customWidth="1"/>
    <col min="12" max="12" width="28.109375" bestFit="1" customWidth="1"/>
    <col min="13" max="13" width="15.109375" bestFit="1" customWidth="1"/>
    <col min="14" max="14" width="16.109375" bestFit="1" customWidth="1"/>
    <col min="15" max="15" width="14.109375" bestFit="1" customWidth="1"/>
    <col min="19" max="19" width="7.33203125" bestFit="1" customWidth="1"/>
    <col min="20" max="20" width="11" bestFit="1" customWidth="1"/>
    <col min="21" max="21" width="15.33203125" bestFit="1" customWidth="1"/>
    <col min="22" max="24" width="11.109375" bestFit="1" customWidth="1"/>
    <col min="25" max="25" width="10.77734375" bestFit="1" customWidth="1"/>
  </cols>
  <sheetData>
    <row r="1" spans="2:28" ht="21">
      <c r="B1" s="561" t="s">
        <v>0</v>
      </c>
      <c r="C1" s="561"/>
      <c r="D1" s="561"/>
      <c r="E1" s="561"/>
      <c r="F1" s="561"/>
      <c r="G1" s="561"/>
      <c r="H1" s="561"/>
      <c r="I1" s="564"/>
      <c r="J1" s="560" t="s">
        <v>1</v>
      </c>
      <c r="K1" s="561"/>
      <c r="L1" s="561"/>
      <c r="M1" s="561"/>
      <c r="N1" s="561"/>
      <c r="O1" s="324"/>
      <c r="P1" s="17"/>
    </row>
    <row r="2" spans="2:28">
      <c r="B2" s="346" t="s">
        <v>2</v>
      </c>
      <c r="C2" s="346">
        <f>'Reformulering '!C4</f>
        <v>2016</v>
      </c>
      <c r="D2" s="346">
        <f>'Reformulering '!D4</f>
        <v>2017</v>
      </c>
      <c r="E2" s="346">
        <f>'Reformulering '!E4</f>
        <v>2018</v>
      </c>
      <c r="F2" s="346">
        <f>'Reformulering '!F4</f>
        <v>2019</v>
      </c>
      <c r="G2" s="346">
        <f>'Reformulering '!G4</f>
        <v>2020</v>
      </c>
      <c r="H2" s="346">
        <f>'Reformulering '!H4</f>
        <v>2021</v>
      </c>
      <c r="I2" s="346">
        <f>'Reformulering '!I4</f>
        <v>2022</v>
      </c>
      <c r="J2" s="269">
        <v>2023</v>
      </c>
      <c r="K2" s="346">
        <v>2024</v>
      </c>
      <c r="L2" s="346">
        <v>2025</v>
      </c>
      <c r="M2" s="346">
        <v>2026</v>
      </c>
      <c r="N2" s="346">
        <v>2027</v>
      </c>
      <c r="O2" s="347" t="s">
        <v>3</v>
      </c>
      <c r="P2" s="17"/>
      <c r="Z2" s="65"/>
    </row>
    <row r="3" spans="2:28">
      <c r="B3" t="str">
        <f>'Reformulering '!B5</f>
        <v>Salgsinntekter</v>
      </c>
      <c r="C3">
        <f>'Reformulering '!C5</f>
        <v>65528</v>
      </c>
      <c r="D3">
        <f>'Reformulering '!D5</f>
        <v>69625</v>
      </c>
      <c r="E3">
        <f>'Reformulering '!E5</f>
        <v>63393</v>
      </c>
      <c r="F3">
        <f>'Reformulering '!F5</f>
        <v>72213</v>
      </c>
      <c r="G3">
        <f>'Reformulering '!G5</f>
        <v>74004</v>
      </c>
      <c r="H3">
        <f>'Reformulering '!H5</f>
        <v>92311</v>
      </c>
      <c r="I3">
        <f>'Reformulering '!I5</f>
        <v>126596.815</v>
      </c>
      <c r="J3" s="332">
        <f>I3*(1+J4)</f>
        <v>113937.13350000001</v>
      </c>
      <c r="K3" s="22">
        <f>J3*(1+K4)</f>
        <v>119633.99017500001</v>
      </c>
      <c r="L3" s="22">
        <f t="shared" ref="L3:N3" si="0">K3*(1+L4)</f>
        <v>125615.68968375002</v>
      </c>
      <c r="M3" s="22">
        <f t="shared" si="0"/>
        <v>131896.47416793753</v>
      </c>
      <c r="N3" s="22">
        <f t="shared" si="0"/>
        <v>138491.2978763344</v>
      </c>
      <c r="O3" s="22">
        <f>N3*(1+O4)</f>
        <v>141261.12383386109</v>
      </c>
      <c r="P3" s="17"/>
      <c r="U3" s="351" t="s">
        <v>2</v>
      </c>
      <c r="V3" s="352">
        <v>2016</v>
      </c>
      <c r="W3" s="352">
        <v>2017</v>
      </c>
      <c r="X3" s="352">
        <v>2018</v>
      </c>
      <c r="Y3" s="352">
        <v>2019</v>
      </c>
      <c r="Z3" s="352">
        <v>2020</v>
      </c>
      <c r="AA3" s="352">
        <v>2021</v>
      </c>
      <c r="AB3" s="353">
        <v>2022</v>
      </c>
    </row>
    <row r="4" spans="2:28">
      <c r="B4" s="76" t="str">
        <f>'Reformulering '!B6</f>
        <v>Vekst i %</v>
      </c>
      <c r="C4" s="229">
        <f>'Reformulering '!C6</f>
        <v>0</v>
      </c>
      <c r="D4" s="229">
        <f>'Reformulering '!D6</f>
        <v>6.2522890977902534E-2</v>
      </c>
      <c r="E4" s="229">
        <f>'Reformulering '!E6</f>
        <v>-8.9508078994613993E-2</v>
      </c>
      <c r="F4" s="229">
        <f>'Reformulering '!F6</f>
        <v>0.13913208082911366</v>
      </c>
      <c r="G4" s="229">
        <f>'Reformulering '!G6</f>
        <v>2.4801628515641161E-2</v>
      </c>
      <c r="H4" s="229">
        <f>'Reformulering '!H6</f>
        <v>0.24737852007999561</v>
      </c>
      <c r="I4" s="229">
        <f>'Reformulering '!I6</f>
        <v>0.3714163534140027</v>
      </c>
      <c r="J4" s="336">
        <f>-10%</f>
        <v>-0.1</v>
      </c>
      <c r="K4" s="233">
        <f>5%</f>
        <v>0.05</v>
      </c>
      <c r="L4" s="233">
        <f>5%</f>
        <v>0.05</v>
      </c>
      <c r="M4" s="233">
        <f>5%</f>
        <v>0.05</v>
      </c>
      <c r="N4" s="233">
        <f>5%</f>
        <v>0.05</v>
      </c>
      <c r="O4" s="233">
        <f>2%</f>
        <v>0.02</v>
      </c>
      <c r="P4" s="17"/>
      <c r="T4" s="60"/>
      <c r="U4" s="520" t="s">
        <v>220</v>
      </c>
      <c r="V4" s="521">
        <f t="shared" ref="V4:AB4" si="1">C3+C5</f>
        <v>65776</v>
      </c>
      <c r="W4" s="521">
        <f t="shared" si="1"/>
        <v>70207</v>
      </c>
      <c r="X4" s="521">
        <f t="shared" si="1"/>
        <v>63588</v>
      </c>
      <c r="Y4" s="521">
        <f t="shared" si="1"/>
        <v>72391</v>
      </c>
      <c r="Z4" s="521">
        <f t="shared" si="1"/>
        <v>74393</v>
      </c>
      <c r="AA4" s="521">
        <f t="shared" si="1"/>
        <v>92889</v>
      </c>
      <c r="AB4" s="522">
        <f t="shared" si="1"/>
        <v>129126.02900000001</v>
      </c>
    </row>
    <row r="5" spans="2:28">
      <c r="B5" t="str">
        <f>'Reformulering '!B7</f>
        <v>Annen driftsinntekt</v>
      </c>
      <c r="C5">
        <f>'Reformulering '!C7</f>
        <v>248</v>
      </c>
      <c r="D5">
        <f>'Reformulering '!D7</f>
        <v>582</v>
      </c>
      <c r="E5">
        <f>'Reformulering '!E7</f>
        <v>195</v>
      </c>
      <c r="F5">
        <f>'Reformulering '!F7</f>
        <v>178</v>
      </c>
      <c r="G5">
        <f>'Reformulering '!G7</f>
        <v>389</v>
      </c>
      <c r="H5">
        <f>'Reformulering '!H7</f>
        <v>578</v>
      </c>
      <c r="I5">
        <f>'Reformulering '!I7</f>
        <v>2529.2139999999999</v>
      </c>
      <c r="J5" s="332">
        <f>J3*J68</f>
        <v>833.20235812716362</v>
      </c>
      <c r="K5" s="22">
        <f>K3*J68</f>
        <v>874.86247603352183</v>
      </c>
      <c r="L5" s="22">
        <f>L3*J68</f>
        <v>918.60559983519795</v>
      </c>
      <c r="M5" s="22">
        <f>M3*J68</f>
        <v>964.53587982695797</v>
      </c>
      <c r="N5" s="22">
        <f>N3*J68</f>
        <v>1012.7626738183058</v>
      </c>
      <c r="O5" s="22">
        <f>O3*J68</f>
        <v>1033.0179272946718</v>
      </c>
      <c r="P5" s="17"/>
      <c r="U5" s="279" t="s">
        <v>162</v>
      </c>
      <c r="V5" s="523">
        <f t="shared" ref="V5:AB5" si="2">C11</f>
        <v>17191</v>
      </c>
      <c r="W5" s="523">
        <f t="shared" si="2"/>
        <v>13792</v>
      </c>
      <c r="X5" s="523">
        <f t="shared" si="2"/>
        <v>12734</v>
      </c>
      <c r="Y5" s="523">
        <f t="shared" si="2"/>
        <v>15397</v>
      </c>
      <c r="Z5" s="523">
        <f t="shared" si="2"/>
        <v>18830</v>
      </c>
      <c r="AA5" s="523">
        <f t="shared" si="2"/>
        <v>12105</v>
      </c>
      <c r="AB5" s="361">
        <f t="shared" si="2"/>
        <v>20575.202000000005</v>
      </c>
    </row>
    <row r="6" spans="2:28">
      <c r="B6" t="str">
        <f>'Reformulering '!B8</f>
        <v>Varekostnad</v>
      </c>
      <c r="C6">
        <f>'Reformulering '!C8</f>
        <v>15437</v>
      </c>
      <c r="D6">
        <f>'Reformulering '!D8</f>
        <v>17518</v>
      </c>
      <c r="E6">
        <f>'Reformulering '!E8</f>
        <v>13487</v>
      </c>
      <c r="F6">
        <f>'Reformulering '!F8</f>
        <v>17021</v>
      </c>
      <c r="G6">
        <f>'Reformulering '!G8</f>
        <v>18287</v>
      </c>
      <c r="H6">
        <f>'Reformulering '!H8</f>
        <v>24404</v>
      </c>
      <c r="I6">
        <f>'Reformulering '!I8</f>
        <v>31817.905999999999</v>
      </c>
      <c r="J6" s="332">
        <f>(J3+J5)*(1-$J$76)</f>
        <v>27649.54190292432</v>
      </c>
      <c r="K6" s="22">
        <f t="shared" ref="K6:M6" si="3">(K3+K5)*(1-$J$76)</f>
        <v>29032.018998070536</v>
      </c>
      <c r="L6" s="22">
        <f t="shared" si="3"/>
        <v>30483.619947974064</v>
      </c>
      <c r="M6" s="22">
        <f t="shared" si="3"/>
        <v>32007.800945372768</v>
      </c>
      <c r="N6" s="22">
        <f>(N3+N5)*(1-$J$76)</f>
        <v>33608.190992641408</v>
      </c>
      <c r="O6" s="22">
        <f>(O3+O5)*(1-$J$76)</f>
        <v>34280.354812494239</v>
      </c>
      <c r="P6" s="17"/>
      <c r="U6" s="279" t="s">
        <v>64</v>
      </c>
      <c r="V6" s="523">
        <f t="shared" ref="V6:AB6" si="4">C14</f>
        <v>11766</v>
      </c>
      <c r="W6" s="523">
        <f t="shared" si="4"/>
        <v>8233</v>
      </c>
      <c r="X6" s="523">
        <f t="shared" si="4"/>
        <v>7175</v>
      </c>
      <c r="Y6" s="523">
        <f t="shared" si="4"/>
        <v>9780</v>
      </c>
      <c r="Z6" s="523">
        <f t="shared" si="4"/>
        <v>12783</v>
      </c>
      <c r="AA6" s="523">
        <f t="shared" si="4"/>
        <v>4259</v>
      </c>
      <c r="AB6" s="361">
        <f t="shared" si="4"/>
        <v>9613.9340000000047</v>
      </c>
    </row>
    <row r="7" spans="2:28">
      <c r="B7" s="227" t="str">
        <f>'Reformulering '!B9</f>
        <v>Gross profit</v>
      </c>
      <c r="C7" s="227">
        <f>'Reformulering '!C9</f>
        <v>50339</v>
      </c>
      <c r="D7" s="227">
        <f>'Reformulering '!D9</f>
        <v>52689</v>
      </c>
      <c r="E7" s="227">
        <f>'Reformulering '!E9</f>
        <v>50101</v>
      </c>
      <c r="F7" s="227">
        <f>'Reformulering '!F9</f>
        <v>55370</v>
      </c>
      <c r="G7" s="227">
        <f>'Reformulering '!G9</f>
        <v>56106</v>
      </c>
      <c r="H7" s="227">
        <f>'Reformulering '!H9</f>
        <v>68485</v>
      </c>
      <c r="I7" s="227">
        <f>'Reformulering '!I9</f>
        <v>97308.123000000007</v>
      </c>
      <c r="J7" s="337">
        <f t="shared" ref="J7:O7" si="5">J3+J5-J6</f>
        <v>87120.793955202855</v>
      </c>
      <c r="K7" s="234">
        <f t="shared" si="5"/>
        <v>91476.833652963003</v>
      </c>
      <c r="L7" s="234">
        <f t="shared" si="5"/>
        <v>96050.675335611159</v>
      </c>
      <c r="M7" s="234">
        <f t="shared" si="5"/>
        <v>100853.20910239172</v>
      </c>
      <c r="N7" s="234">
        <f t="shared" si="5"/>
        <v>105895.86955751129</v>
      </c>
      <c r="O7" s="234">
        <f t="shared" si="5"/>
        <v>108013.78694866152</v>
      </c>
      <c r="P7" s="17"/>
      <c r="U7" s="279" t="s">
        <v>66</v>
      </c>
      <c r="V7" s="524">
        <f t="shared" ref="V7:AB7" si="6">C20</f>
        <v>8743.5011163482995</v>
      </c>
      <c r="W7" s="524">
        <f t="shared" si="6"/>
        <v>6252.867320015077</v>
      </c>
      <c r="X7" s="524">
        <f t="shared" si="6"/>
        <v>5593.8</v>
      </c>
      <c r="Y7" s="524">
        <f t="shared" si="6"/>
        <v>7621.54</v>
      </c>
      <c r="Z7" s="524">
        <f t="shared" si="6"/>
        <v>9967.48</v>
      </c>
      <c r="AA7" s="524">
        <f t="shared" si="6"/>
        <v>3322.06</v>
      </c>
      <c r="AB7" s="371">
        <f t="shared" si="6"/>
        <v>7487.3463000000047</v>
      </c>
    </row>
    <row r="8" spans="2:28">
      <c r="B8" s="76" t="str">
        <f>'Reformulering '!B10</f>
        <v>Gross profit margin</v>
      </c>
      <c r="C8" s="229">
        <f>'Reformulering '!C10</f>
        <v>0.76530953539284841</v>
      </c>
      <c r="D8" s="229">
        <f>'Reformulering '!D10</f>
        <v>0.75048072129559729</v>
      </c>
      <c r="E8" s="229">
        <f>'Reformulering '!E10</f>
        <v>0.78790023274831733</v>
      </c>
      <c r="F8" s="229">
        <f>'Reformulering '!F10</f>
        <v>0.76487408655772127</v>
      </c>
      <c r="G8" s="229">
        <f>'Reformulering '!G10</f>
        <v>0.75418386138480775</v>
      </c>
      <c r="H8" s="229">
        <f>'Reformulering '!H10</f>
        <v>0.73727782622269589</v>
      </c>
      <c r="I8" s="229">
        <f>'Reformulering '!I10</f>
        <v>0.75359030052724696</v>
      </c>
      <c r="J8" s="338">
        <f>J7/(J3+J5)</f>
        <v>0.75908808058989063</v>
      </c>
      <c r="K8" s="235">
        <f t="shared" ref="K8:N8" si="7">K7/(K3+K5)</f>
        <v>0.75908808058989063</v>
      </c>
      <c r="L8" s="235">
        <f t="shared" si="7"/>
        <v>0.75908808058989063</v>
      </c>
      <c r="M8" s="235">
        <f t="shared" si="7"/>
        <v>0.75908808058989063</v>
      </c>
      <c r="N8" s="235">
        <f t="shared" si="7"/>
        <v>0.75908808058989063</v>
      </c>
      <c r="O8" s="229">
        <f>O7/(O3+O5)</f>
        <v>0.75908808058989052</v>
      </c>
      <c r="P8" s="344"/>
      <c r="T8" s="65"/>
      <c r="U8" s="525" t="s">
        <v>396</v>
      </c>
      <c r="V8" s="363">
        <f t="shared" ref="V8:AB8" si="8">C25</f>
        <v>5990.9999999999991</v>
      </c>
      <c r="W8" s="363">
        <f t="shared" si="8"/>
        <v>4029</v>
      </c>
      <c r="X8" s="363">
        <f t="shared" si="8"/>
        <v>3519</v>
      </c>
      <c r="Y8" s="363">
        <f t="shared" si="8"/>
        <v>5833</v>
      </c>
      <c r="Z8" s="363">
        <f t="shared" si="8"/>
        <v>8746</v>
      </c>
      <c r="AA8" s="363">
        <f t="shared" si="8"/>
        <v>2131</v>
      </c>
      <c r="AB8" s="526">
        <f t="shared" si="8"/>
        <v>10817.256000000005</v>
      </c>
    </row>
    <row r="9" spans="2:28">
      <c r="B9" t="str">
        <f>'Reformulering '!B11</f>
        <v>Lønnskostnader</v>
      </c>
      <c r="C9">
        <f>'Reformulering '!C11</f>
        <v>19888</v>
      </c>
      <c r="D9">
        <f>'Reformulering '!D11</f>
        <v>22638</v>
      </c>
      <c r="E9">
        <f>'Reformulering '!E11</f>
        <v>21228</v>
      </c>
      <c r="F9">
        <f>'Reformulering '!F11</f>
        <v>21402</v>
      </c>
      <c r="G9">
        <f>'Reformulering '!G11</f>
        <v>22580</v>
      </c>
      <c r="H9">
        <f>'Reformulering '!H11</f>
        <v>27992</v>
      </c>
      <c r="I9">
        <f>'Reformulering '!I11</f>
        <v>32071.596000000001</v>
      </c>
      <c r="J9" s="332">
        <f>J3*J65</f>
        <v>33787.544931146302</v>
      </c>
      <c r="K9" s="22">
        <f>K3*J65</f>
        <v>35476.922177703615</v>
      </c>
      <c r="L9" s="22">
        <f>L3*J65</f>
        <v>37250.768286588798</v>
      </c>
      <c r="M9" s="22">
        <f>M3*J65</f>
        <v>39113.306700918241</v>
      </c>
      <c r="N9" s="22">
        <f>N3*$J$65</f>
        <v>41068.972035964151</v>
      </c>
      <c r="O9" s="22">
        <f>O3*$J$65</f>
        <v>41890.351476683434</v>
      </c>
      <c r="P9" s="17"/>
      <c r="T9" s="60"/>
    </row>
    <row r="10" spans="2:28">
      <c r="B10" t="str">
        <f>'Reformulering '!B12</f>
        <v>Andre driftskostnader</v>
      </c>
      <c r="C10">
        <f>'Reformulering '!C12</f>
        <v>13260</v>
      </c>
      <c r="D10">
        <f>'Reformulering '!D12</f>
        <v>16259</v>
      </c>
      <c r="E10">
        <f>'Reformulering '!E12</f>
        <v>16139</v>
      </c>
      <c r="F10">
        <f>'Reformulering '!F12</f>
        <v>18571</v>
      </c>
      <c r="G10">
        <f>'Reformulering '!G12</f>
        <v>14696</v>
      </c>
      <c r="H10">
        <f>'Reformulering '!H12</f>
        <v>28388</v>
      </c>
      <c r="I10">
        <f>'Reformulering '!I12</f>
        <v>44661.324999999997</v>
      </c>
      <c r="J10" s="332">
        <f>J3*J66</f>
        <v>26101.990502234978</v>
      </c>
      <c r="K10" s="22">
        <f>K3*J66</f>
        <v>27407.090027346727</v>
      </c>
      <c r="L10" s="22">
        <f>L3*J66</f>
        <v>28777.444528714066</v>
      </c>
      <c r="M10" s="22">
        <f>M3*J66</f>
        <v>30216.316755149768</v>
      </c>
      <c r="N10" s="22">
        <f>N3*$J$66</f>
        <v>31727.132592907255</v>
      </c>
      <c r="O10" s="22">
        <f>O3*$J$66</f>
        <v>32361.6752447654</v>
      </c>
      <c r="P10" s="17"/>
    </row>
    <row r="11" spans="2:28">
      <c r="B11" s="227" t="str">
        <f>'Reformulering '!B13</f>
        <v>EBITDA</v>
      </c>
      <c r="C11" s="227">
        <f>'Reformulering '!C13</f>
        <v>17191</v>
      </c>
      <c r="D11" s="227">
        <f>'Reformulering '!D13</f>
        <v>13792</v>
      </c>
      <c r="E11" s="227">
        <f>'Reformulering '!E13</f>
        <v>12734</v>
      </c>
      <c r="F11" s="227">
        <f>'Reformulering '!F13</f>
        <v>15397</v>
      </c>
      <c r="G11" s="227">
        <f>'Reformulering '!G13</f>
        <v>18830</v>
      </c>
      <c r="H11" s="227">
        <f>'Reformulering '!H13</f>
        <v>12105</v>
      </c>
      <c r="I11" s="227">
        <f>'Reformulering '!I13</f>
        <v>20575.202000000005</v>
      </c>
      <c r="J11" s="337">
        <f>J7-J9-J10</f>
        <v>27231.258521821575</v>
      </c>
      <c r="K11" s="234">
        <f t="shared" ref="K11:O11" si="9">K7-K9-K10</f>
        <v>28592.821447912662</v>
      </c>
      <c r="L11" s="234">
        <f t="shared" si="9"/>
        <v>30022.462520308294</v>
      </c>
      <c r="M11" s="234">
        <f t="shared" si="9"/>
        <v>31523.585646323707</v>
      </c>
      <c r="N11" s="234">
        <f t="shared" si="9"/>
        <v>33099.764928639888</v>
      </c>
      <c r="O11" s="234">
        <f t="shared" si="9"/>
        <v>33761.760227212697</v>
      </c>
      <c r="P11" s="17"/>
      <c r="T11" s="60"/>
      <c r="U11" s="60"/>
      <c r="V11" s="60"/>
      <c r="W11" s="60"/>
      <c r="X11" s="60"/>
      <c r="Y11" s="60"/>
    </row>
    <row r="12" spans="2:28">
      <c r="B12" s="76" t="str">
        <f>'Reformulering '!B14</f>
        <v>EBITDA MARGIN</v>
      </c>
      <c r="C12" s="229">
        <f>'Reformulering '!C14</f>
        <v>0.26234586741545601</v>
      </c>
      <c r="D12" s="229">
        <f>'Reformulering '!D14</f>
        <v>0.19808976660682226</v>
      </c>
      <c r="E12" s="229">
        <f>'Reformulering '!E14</f>
        <v>0.20087391352357517</v>
      </c>
      <c r="F12" s="229">
        <f>'Reformulering '!F14</f>
        <v>0.21321645687064655</v>
      </c>
      <c r="G12" s="229">
        <f>'Reformulering '!G14</f>
        <v>0.2544457056375331</v>
      </c>
      <c r="H12" s="229">
        <f>'Reformulering '!H14</f>
        <v>0.13113280107462816</v>
      </c>
      <c r="I12" s="229">
        <f>'Reformulering '!I14</f>
        <v>0.16252543162322058</v>
      </c>
      <c r="J12" s="336">
        <f>J11/J3</f>
        <v>0.2390024892264081</v>
      </c>
      <c r="K12" s="233">
        <f t="shared" ref="K12:M12" si="10">K11/K3</f>
        <v>0.23900248922640818</v>
      </c>
      <c r="L12" s="233">
        <f t="shared" si="10"/>
        <v>0.23900248922640815</v>
      </c>
      <c r="M12" s="233">
        <f t="shared" si="10"/>
        <v>0.23900248922640813</v>
      </c>
      <c r="N12" s="233">
        <f>N11/N3</f>
        <v>0.2390024892264081</v>
      </c>
      <c r="O12" s="233">
        <f>O11/O3</f>
        <v>0.23900248922640818</v>
      </c>
      <c r="P12" s="345"/>
    </row>
    <row r="13" spans="2:28">
      <c r="B13" t="str">
        <f>'Reformulering '!B15</f>
        <v>Avskrivninger</v>
      </c>
      <c r="C13">
        <f>'Reformulering '!C15</f>
        <v>5425</v>
      </c>
      <c r="D13">
        <f>'Reformulering '!D15</f>
        <v>5559</v>
      </c>
      <c r="E13">
        <f>'Reformulering '!E15</f>
        <v>5559</v>
      </c>
      <c r="F13">
        <f>'Reformulering '!F15</f>
        <v>5617</v>
      </c>
      <c r="G13">
        <f>'Reformulering '!G15</f>
        <v>6047</v>
      </c>
      <c r="H13">
        <f>'Reformulering '!H15</f>
        <v>7846</v>
      </c>
      <c r="I13">
        <f>'Reformulering '!I15</f>
        <v>10961.268</v>
      </c>
      <c r="J13" s="332">
        <f t="shared" ref="J13:O13" si="11">I85</f>
        <v>11106.139892981015</v>
      </c>
      <c r="K13" s="22">
        <f t="shared" si="11"/>
        <v>10695.852464797408</v>
      </c>
      <c r="L13" s="22">
        <f t="shared" si="11"/>
        <v>10338.864722270742</v>
      </c>
      <c r="M13" s="22">
        <f t="shared" si="11"/>
        <v>10030.350608932966</v>
      </c>
      <c r="N13" s="22">
        <f t="shared" si="11"/>
        <v>9765.8621468075908</v>
      </c>
      <c r="O13" s="22">
        <f t="shared" si="11"/>
        <v>9541.3901269095622</v>
      </c>
      <c r="P13" s="17"/>
    </row>
    <row r="14" spans="2:28" ht="15" thickBot="1">
      <c r="B14" s="228" t="str">
        <f>'Reformulering '!B16</f>
        <v>EBITA</v>
      </c>
      <c r="C14" s="228">
        <f>'Reformulering '!C16</f>
        <v>11766</v>
      </c>
      <c r="D14" s="228">
        <f>'Reformulering '!D16</f>
        <v>8233</v>
      </c>
      <c r="E14" s="228">
        <f>'Reformulering '!E16</f>
        <v>7175</v>
      </c>
      <c r="F14" s="228">
        <f>'Reformulering '!F16</f>
        <v>9780</v>
      </c>
      <c r="G14" s="228">
        <f>'Reformulering '!G16</f>
        <v>12783</v>
      </c>
      <c r="H14" s="228">
        <f>'Reformulering '!H16</f>
        <v>4259</v>
      </c>
      <c r="I14" s="228">
        <f>'Reformulering '!I16</f>
        <v>9613.9340000000047</v>
      </c>
      <c r="J14" s="339">
        <f>J11-J13</f>
        <v>16125.118628840561</v>
      </c>
      <c r="K14" s="236">
        <f>K11-K13</f>
        <v>17896.968983115254</v>
      </c>
      <c r="L14" s="236">
        <f t="shared" ref="L14:N14" si="12">L11-L13</f>
        <v>19683.597798037554</v>
      </c>
      <c r="M14" s="236">
        <f t="shared" si="12"/>
        <v>21493.235037390739</v>
      </c>
      <c r="N14" s="236">
        <f t="shared" si="12"/>
        <v>23333.902781832297</v>
      </c>
      <c r="O14" s="236">
        <f>O11-O13</f>
        <v>24220.370100303135</v>
      </c>
      <c r="P14" s="17"/>
    </row>
    <row r="15" spans="2:28">
      <c r="B15" s="76" t="str">
        <f>'Reformulering '!B17</f>
        <v>EBITA MARGIN</v>
      </c>
      <c r="C15" s="229">
        <f>'Reformulering '!C17</f>
        <v>0.17955683066780612</v>
      </c>
      <c r="D15" s="229">
        <f>'Reformulering '!D17</f>
        <v>0.11824775583482944</v>
      </c>
      <c r="E15" s="229">
        <f>'Reformulering '!E17</f>
        <v>0.11318284353162021</v>
      </c>
      <c r="F15" s="229">
        <f>'Reformulering '!F17</f>
        <v>0.1354326783266171</v>
      </c>
      <c r="G15" s="229">
        <f>'Reformulering '!G17</f>
        <v>0.17273390627533647</v>
      </c>
      <c r="H15" s="229">
        <f>'Reformulering '!H17</f>
        <v>4.6137513405769624E-2</v>
      </c>
      <c r="I15" s="229">
        <f>'Reformulering '!I17</f>
        <v>7.5941357608404328E-2</v>
      </c>
      <c r="J15" s="336">
        <f>J14/J3</f>
        <v>0.14152645527843263</v>
      </c>
      <c r="K15" s="233">
        <f t="shared" ref="K15:M15" si="13">K14/K3</f>
        <v>0.14959769340582602</v>
      </c>
      <c r="L15" s="233">
        <f t="shared" si="13"/>
        <v>0.15669696872733785</v>
      </c>
      <c r="M15" s="233">
        <f t="shared" si="13"/>
        <v>0.16295534185413041</v>
      </c>
      <c r="N15" s="233">
        <f>N14/N3</f>
        <v>0.16848641856666166</v>
      </c>
      <c r="O15" s="233">
        <f>O14/O3</f>
        <v>0.17145814391784822</v>
      </c>
      <c r="P15" s="17"/>
    </row>
    <row r="16" spans="2:28">
      <c r="B16" t="str">
        <f>'Reformulering '!B18</f>
        <v>Betalt skatt</v>
      </c>
      <c r="C16">
        <f>'Reformulering '!C18</f>
        <v>-2071</v>
      </c>
      <c r="D16">
        <f>'Reformulering '!D18</f>
        <v>-1276</v>
      </c>
      <c r="E16">
        <f>'Reformulering '!E18</f>
        <v>-996</v>
      </c>
      <c r="F16">
        <f>'Reformulering '!F18</f>
        <v>-1654</v>
      </c>
      <c r="G16">
        <f>'Reformulering '!G18</f>
        <v>-2471</v>
      </c>
      <c r="H16">
        <f>'Reformulering '!H18</f>
        <v>-601</v>
      </c>
      <c r="I16">
        <f>'Reformulering '!I18</f>
        <v>-3065.7930000000001</v>
      </c>
      <c r="J16" s="332">
        <f>J14*-$J$19</f>
        <v>-3547.5260983449234</v>
      </c>
      <c r="K16" s="22">
        <f t="shared" ref="K16:M16" si="14">K14*-$J$19</f>
        <v>-3937.3331762853559</v>
      </c>
      <c r="L16" s="22">
        <f t="shared" si="14"/>
        <v>-4330.3915155682616</v>
      </c>
      <c r="M16" s="22">
        <f t="shared" si="14"/>
        <v>-4728.511708225963</v>
      </c>
      <c r="N16" s="22">
        <f>N14*-$J$19</f>
        <v>-5133.4586120031054</v>
      </c>
      <c r="O16" s="22">
        <f>-O14*O19</f>
        <v>-5328.4814220666894</v>
      </c>
      <c r="P16" s="17"/>
    </row>
    <row r="17" spans="2:24">
      <c r="B17" t="str">
        <f>'Reformulering '!B19</f>
        <v>Skatteskjold reversert</v>
      </c>
      <c r="C17">
        <f>'Reformulering '!C19</f>
        <v>-951.49888365169932</v>
      </c>
      <c r="D17">
        <f>'Reformulering '!D19</f>
        <v>-704.13267998492279</v>
      </c>
      <c r="E17">
        <f>'Reformulering '!E19</f>
        <v>-585.20000000000005</v>
      </c>
      <c r="F17">
        <f>'Reformulering '!F19</f>
        <v>-504.46</v>
      </c>
      <c r="G17">
        <f>'Reformulering '!G19</f>
        <v>-344.52</v>
      </c>
      <c r="H17">
        <f>'Reformulering '!H19</f>
        <v>-335.94</v>
      </c>
      <c r="I17">
        <f>'Reformulering '!I19</f>
        <v>939.20529999999997</v>
      </c>
      <c r="J17" s="340">
        <f>-J24</f>
        <v>-583.36678190476198</v>
      </c>
      <c r="K17" s="6">
        <f t="shared" ref="K17:N17" si="15">-K24</f>
        <v>-583.36678190476198</v>
      </c>
      <c r="L17" s="6">
        <f t="shared" si="15"/>
        <v>-583.36678190476198</v>
      </c>
      <c r="M17" s="6">
        <f t="shared" si="15"/>
        <v>-583.36678190476198</v>
      </c>
      <c r="N17" s="6">
        <f t="shared" si="15"/>
        <v>-583.36678190476198</v>
      </c>
      <c r="O17" s="6">
        <f>N17</f>
        <v>-583.36678190476198</v>
      </c>
      <c r="P17" s="17"/>
    </row>
    <row r="18" spans="2:24">
      <c r="B18" t="str">
        <f>'Reformulering '!B20</f>
        <v>Operasjonell skattekostnad</v>
      </c>
      <c r="C18">
        <f>'Reformulering '!C20</f>
        <v>-3022.4988836516995</v>
      </c>
      <c r="D18">
        <f>'Reformulering '!D20</f>
        <v>-1980.1326799849228</v>
      </c>
      <c r="E18">
        <f>'Reformulering '!E20</f>
        <v>-1581.2</v>
      </c>
      <c r="F18">
        <f>'Reformulering '!F20</f>
        <v>-2158.46</v>
      </c>
      <c r="G18">
        <f>'Reformulering '!G20</f>
        <v>-2815.52</v>
      </c>
      <c r="H18">
        <f>'Reformulering '!H20</f>
        <v>-936.94</v>
      </c>
      <c r="I18">
        <f>'Reformulering '!I20</f>
        <v>-2126.5877</v>
      </c>
      <c r="J18" s="340">
        <f>J16+J17</f>
        <v>-4130.8928802496857</v>
      </c>
      <c r="K18" s="6">
        <f t="shared" ref="K18:O18" si="16">K16+K17</f>
        <v>-4520.6999581901182</v>
      </c>
      <c r="L18" s="6">
        <f t="shared" si="16"/>
        <v>-4913.758297473024</v>
      </c>
      <c r="M18" s="6">
        <f t="shared" si="16"/>
        <v>-5311.8784901307254</v>
      </c>
      <c r="N18" s="6">
        <f t="shared" si="16"/>
        <v>-5716.8253939078677</v>
      </c>
      <c r="O18" s="6">
        <f t="shared" si="16"/>
        <v>-5911.8482039714518</v>
      </c>
      <c r="P18" s="17"/>
    </row>
    <row r="19" spans="2:24">
      <c r="B19" s="76" t="str">
        <f>'Reformulering '!B21</f>
        <v>Operasjonell skattekostnad i %</v>
      </c>
      <c r="C19" s="229">
        <f>'Reformulering '!C21</f>
        <v>0.2568841478541305</v>
      </c>
      <c r="D19" s="229">
        <f>'Reformulering '!D21</f>
        <v>0.24051168225251096</v>
      </c>
      <c r="E19" s="229">
        <f>'Reformulering '!E21</f>
        <v>0.22037630662020907</v>
      </c>
      <c r="F19" s="229">
        <f>'Reformulering '!F21</f>
        <v>0.22070143149284255</v>
      </c>
      <c r="G19" s="229">
        <f>'Reformulering '!G21</f>
        <v>0.22025502620668075</v>
      </c>
      <c r="H19" s="229">
        <f>'Reformulering '!H21</f>
        <v>0.21999060812397278</v>
      </c>
      <c r="I19" s="229">
        <f>'Reformulering '!I21</f>
        <v>0.2211984916892501</v>
      </c>
      <c r="J19" s="336">
        <f>22%</f>
        <v>0.22</v>
      </c>
      <c r="K19" s="233">
        <f>22%</f>
        <v>0.22</v>
      </c>
      <c r="L19" s="233">
        <f>22%</f>
        <v>0.22</v>
      </c>
      <c r="M19" s="233">
        <f>22%</f>
        <v>0.22</v>
      </c>
      <c r="N19" s="233">
        <f>22%</f>
        <v>0.22</v>
      </c>
      <c r="O19" s="233">
        <f>22%</f>
        <v>0.22</v>
      </c>
      <c r="P19" s="17"/>
    </row>
    <row r="20" spans="2:24" ht="15" thickBot="1">
      <c r="B20" s="228" t="str">
        <f>'Reformulering '!B22</f>
        <v>NOPAT</v>
      </c>
      <c r="C20" s="228">
        <f>'Reformulering '!C22</f>
        <v>8743.5011163482995</v>
      </c>
      <c r="D20" s="228">
        <f>'Reformulering '!D22</f>
        <v>6252.867320015077</v>
      </c>
      <c r="E20" s="228">
        <f>'Reformulering '!E22</f>
        <v>5593.8</v>
      </c>
      <c r="F20" s="228">
        <f>'Reformulering '!F22</f>
        <v>7621.54</v>
      </c>
      <c r="G20" s="228">
        <f>'Reformulering '!G22</f>
        <v>9967.48</v>
      </c>
      <c r="H20" s="228">
        <f>'Reformulering '!H22</f>
        <v>3322.06</v>
      </c>
      <c r="I20" s="228">
        <f>'Reformulering '!I22</f>
        <v>7487.3463000000047</v>
      </c>
      <c r="J20" s="341">
        <f>J14+J18</f>
        <v>11994.225748590874</v>
      </c>
      <c r="K20" s="237">
        <f t="shared" ref="K20:O20" si="17">K14+K18</f>
        <v>13376.269024925135</v>
      </c>
      <c r="L20" s="237">
        <f t="shared" si="17"/>
        <v>14769.839500564529</v>
      </c>
      <c r="M20" s="237">
        <f t="shared" si="17"/>
        <v>16181.356547260013</v>
      </c>
      <c r="N20" s="237">
        <f t="shared" si="17"/>
        <v>17617.07738792443</v>
      </c>
      <c r="O20" s="237">
        <f t="shared" si="17"/>
        <v>18308.521896331684</v>
      </c>
      <c r="P20" s="17"/>
    </row>
    <row r="21" spans="2:24">
      <c r="B21" s="76" t="str">
        <f>'Reformulering '!B23</f>
        <v>NOPAT MARGIN</v>
      </c>
      <c r="C21" s="229">
        <f>'Reformulering '!C23</f>
        <v>0.13343152723031834</v>
      </c>
      <c r="D21" s="229">
        <f>'Reformulering '!D23</f>
        <v>8.9807789156410439E-2</v>
      </c>
      <c r="E21" s="229">
        <f>'Reformulering '!E23</f>
        <v>8.8240026501348726E-2</v>
      </c>
      <c r="F21" s="229">
        <f>'Reformulering '!F23</f>
        <v>0.10554249234902303</v>
      </c>
      <c r="G21" s="229">
        <f>'Reformulering '!G23</f>
        <v>0.13468839522187989</v>
      </c>
      <c r="H21" s="229">
        <f>'Reformulering '!H23</f>
        <v>3.5987693774306419E-2</v>
      </c>
      <c r="I21" s="229">
        <f>'Reformulering '!I23</f>
        <v>5.9143243848591327E-2</v>
      </c>
      <c r="J21" s="336">
        <f>J20/J3</f>
        <v>0.10527055912452697</v>
      </c>
      <c r="K21" s="233">
        <f t="shared" ref="K21:N21" si="18">K20/K3</f>
        <v>0.11180993800640097</v>
      </c>
      <c r="L21" s="233">
        <f t="shared" si="18"/>
        <v>0.11757957575004417</v>
      </c>
      <c r="M21" s="233">
        <f t="shared" si="18"/>
        <v>0.12268225249643185</v>
      </c>
      <c r="N21" s="233">
        <f t="shared" si="18"/>
        <v>0.12720710729172005</v>
      </c>
      <c r="O21" s="233">
        <f>O20/O3</f>
        <v>0.12960764716741568</v>
      </c>
      <c r="P21" s="17"/>
    </row>
    <row r="22" spans="2:24">
      <c r="B22" t="str">
        <f>'Reformulering '!B24</f>
        <v>Finanskostnader</v>
      </c>
      <c r="C22">
        <f>'Reformulering '!C24</f>
        <v>-3711</v>
      </c>
      <c r="D22">
        <f>'Reformulering '!D24</f>
        <v>-2938</v>
      </c>
      <c r="E22">
        <f>'Reformulering '!E24</f>
        <v>-2676</v>
      </c>
      <c r="F22">
        <f>'Reformulering '!F24</f>
        <v>-2337</v>
      </c>
      <c r="G22">
        <f>'Reformulering '!G24</f>
        <v>-1588</v>
      </c>
      <c r="H22">
        <f>'Reformulering '!H24</f>
        <v>-1648</v>
      </c>
      <c r="I22">
        <f>'Reformulering '!I24</f>
        <v>-3920.337</v>
      </c>
      <c r="J22" s="340">
        <f>(AVERAGE($C$22:$I$22))</f>
        <v>-2688.3338571428571</v>
      </c>
      <c r="K22" s="6">
        <f t="shared" ref="K22:M22" si="19">(AVERAGE($C$22:$I$22))</f>
        <v>-2688.3338571428571</v>
      </c>
      <c r="L22" s="6">
        <f t="shared" si="19"/>
        <v>-2688.3338571428571</v>
      </c>
      <c r="M22" s="6">
        <f t="shared" si="19"/>
        <v>-2688.3338571428571</v>
      </c>
      <c r="N22" s="6">
        <f>(AVERAGE($C$22:$I$22))</f>
        <v>-2688.3338571428571</v>
      </c>
      <c r="O22" s="6">
        <f>(AVERAGE($C$22:$I$22))</f>
        <v>-2688.3338571428571</v>
      </c>
      <c r="P22" s="17"/>
    </row>
    <row r="23" spans="2:24">
      <c r="B23" t="str">
        <f>'Reformulering '!B25</f>
        <v>Finansinntekter</v>
      </c>
      <c r="C23">
        <f>'Reformulering '!C25</f>
        <v>7</v>
      </c>
      <c r="D23">
        <f>'Reformulering '!D25</f>
        <v>10</v>
      </c>
      <c r="E23">
        <f>'Reformulering '!E25</f>
        <v>16</v>
      </c>
      <c r="F23">
        <f>'Reformulering '!F25</f>
        <v>44</v>
      </c>
      <c r="G23">
        <f>'Reformulering '!G25</f>
        <v>22</v>
      </c>
      <c r="H23">
        <f>'Reformulering '!H25</f>
        <v>121</v>
      </c>
      <c r="I23">
        <f>'Reformulering '!I25</f>
        <v>8189.4520000000002</v>
      </c>
      <c r="J23" s="340">
        <f>AVERAGE($C$23:$H$23)</f>
        <v>36.666666666666664</v>
      </c>
      <c r="K23" s="6">
        <f t="shared" ref="K23:O23" si="20">AVERAGE($C$23:$H$23)</f>
        <v>36.666666666666664</v>
      </c>
      <c r="L23" s="6">
        <f t="shared" si="20"/>
        <v>36.666666666666664</v>
      </c>
      <c r="M23" s="6">
        <f t="shared" si="20"/>
        <v>36.666666666666664</v>
      </c>
      <c r="N23" s="6">
        <f t="shared" si="20"/>
        <v>36.666666666666664</v>
      </c>
      <c r="O23" s="6">
        <f t="shared" si="20"/>
        <v>36.666666666666664</v>
      </c>
      <c r="P23" s="17"/>
    </row>
    <row r="24" spans="2:24">
      <c r="B24" t="str">
        <f>'Reformulering '!B26</f>
        <v>Skatteskjold</v>
      </c>
      <c r="C24">
        <f>'Reformulering '!C26</f>
        <v>951.49888365169932</v>
      </c>
      <c r="D24">
        <f>'Reformulering '!D26</f>
        <v>704.13267998492279</v>
      </c>
      <c r="E24">
        <f>'Reformulering '!E26</f>
        <v>585.20000000000005</v>
      </c>
      <c r="F24">
        <f>'Reformulering '!F26</f>
        <v>504.46</v>
      </c>
      <c r="G24">
        <f>'Reformulering '!G26</f>
        <v>344.52</v>
      </c>
      <c r="H24">
        <f>'Reformulering '!H26</f>
        <v>335.94</v>
      </c>
      <c r="I24">
        <f>'Reformulering '!I26</f>
        <v>-939.20529999999997</v>
      </c>
      <c r="J24" s="340">
        <f>-(J22+J23)*J19</f>
        <v>583.36678190476198</v>
      </c>
      <c r="K24" s="6">
        <f t="shared" ref="K24:O24" si="21">-(K22+K23)*K19</f>
        <v>583.36678190476198</v>
      </c>
      <c r="L24" s="6">
        <f t="shared" si="21"/>
        <v>583.36678190476198</v>
      </c>
      <c r="M24" s="6">
        <f t="shared" si="21"/>
        <v>583.36678190476198</v>
      </c>
      <c r="N24" s="6">
        <f t="shared" si="21"/>
        <v>583.36678190476198</v>
      </c>
      <c r="O24" s="6">
        <f t="shared" si="21"/>
        <v>583.36678190476198</v>
      </c>
      <c r="P24" s="17"/>
    </row>
    <row r="25" spans="2:24" ht="15" thickBot="1">
      <c r="B25" s="5" t="str">
        <f>'Reformulering '!B27</f>
        <v>Konsolidert profitt</v>
      </c>
      <c r="C25" s="5">
        <f>'Reformulering '!C27</f>
        <v>5990.9999999999991</v>
      </c>
      <c r="D25" s="5">
        <f>'Reformulering '!D27</f>
        <v>4029</v>
      </c>
      <c r="E25" s="5">
        <f>'Reformulering '!E27</f>
        <v>3519</v>
      </c>
      <c r="F25" s="5">
        <f>'Reformulering '!F27</f>
        <v>5833</v>
      </c>
      <c r="G25" s="5">
        <f>'Reformulering '!G27</f>
        <v>8746</v>
      </c>
      <c r="H25" s="5">
        <f>'Reformulering '!H27</f>
        <v>2131</v>
      </c>
      <c r="I25" s="5">
        <f>'Reformulering '!I27</f>
        <v>10817.256000000005</v>
      </c>
      <c r="J25" s="342">
        <f>SUM(J20:J24)</f>
        <v>9926.0306105785694</v>
      </c>
      <c r="K25" s="238">
        <f t="shared" ref="K25:N25" si="22">SUM(K20:K24)</f>
        <v>11308.080426291712</v>
      </c>
      <c r="L25" s="238">
        <f t="shared" si="22"/>
        <v>12701.65667156885</v>
      </c>
      <c r="M25" s="238">
        <f t="shared" si="22"/>
        <v>14113.178820941081</v>
      </c>
      <c r="N25" s="238">
        <f t="shared" si="22"/>
        <v>15548.904186460293</v>
      </c>
      <c r="O25" s="7">
        <f>O20+O22+O23+O24</f>
        <v>16240.221487760255</v>
      </c>
      <c r="P25" s="17"/>
    </row>
    <row r="26" spans="2:24">
      <c r="P26" s="17"/>
    </row>
    <row r="27" spans="2:24" ht="21">
      <c r="B27" s="558" t="s">
        <v>0</v>
      </c>
      <c r="C27" s="559"/>
      <c r="D27" s="559"/>
      <c r="E27" s="559"/>
      <c r="F27" s="559"/>
      <c r="G27" s="559"/>
      <c r="H27" s="559"/>
      <c r="I27" s="565"/>
      <c r="J27" s="558" t="s">
        <v>1</v>
      </c>
      <c r="K27" s="559"/>
      <c r="L27" s="559"/>
      <c r="M27" s="559"/>
      <c r="N27" s="559"/>
      <c r="O27" s="348"/>
      <c r="P27" s="17"/>
      <c r="T27" s="22"/>
      <c r="U27" s="22"/>
      <c r="V27" s="22"/>
      <c r="W27" s="22"/>
      <c r="X27" s="22"/>
    </row>
    <row r="28" spans="2:24">
      <c r="B28" s="296" t="s">
        <v>4</v>
      </c>
      <c r="C28" s="346">
        <f>'Reformulering '!C30</f>
        <v>2016</v>
      </c>
      <c r="D28" s="346">
        <f>'Reformulering '!D30</f>
        <v>2017</v>
      </c>
      <c r="E28" s="346">
        <f>'Reformulering '!E30</f>
        <v>2018</v>
      </c>
      <c r="F28" s="346">
        <f>'Reformulering '!F30</f>
        <v>2019</v>
      </c>
      <c r="G28" s="346">
        <f>'Reformulering '!G30</f>
        <v>2020</v>
      </c>
      <c r="H28" s="346">
        <f>'Reformulering '!H30</f>
        <v>2021</v>
      </c>
      <c r="I28" s="346">
        <v>2022</v>
      </c>
      <c r="J28" s="269">
        <v>2023</v>
      </c>
      <c r="K28" s="346">
        <v>2024</v>
      </c>
      <c r="L28" s="346">
        <v>2025</v>
      </c>
      <c r="M28" s="346">
        <v>2026</v>
      </c>
      <c r="N28" s="346">
        <v>2027</v>
      </c>
      <c r="O28" s="270" t="s">
        <v>5</v>
      </c>
      <c r="P28" s="17"/>
      <c r="T28" s="22"/>
      <c r="U28" s="22"/>
      <c r="V28" s="22"/>
      <c r="W28" s="22"/>
      <c r="X28" s="22"/>
    </row>
    <row r="29" spans="2:24">
      <c r="B29" s="17" t="str">
        <f>'Reformulering '!B31</f>
        <v>Tomter (O)</v>
      </c>
      <c r="C29">
        <f>'Reformulering '!C31</f>
        <v>81289</v>
      </c>
      <c r="D29">
        <f>'Reformulering '!D31</f>
        <v>76794</v>
      </c>
      <c r="E29">
        <f>'Reformulering '!E31</f>
        <v>71823</v>
      </c>
      <c r="F29">
        <f>'Reformulering '!F31</f>
        <v>68466</v>
      </c>
      <c r="G29">
        <f>'Reformulering '!G31</f>
        <v>83054</v>
      </c>
      <c r="H29">
        <f>'Reformulering '!H31</f>
        <v>109272</v>
      </c>
      <c r="I29" s="242">
        <f>97633700/1000</f>
        <v>97633.7</v>
      </c>
      <c r="J29" s="332">
        <f>J3*$S$64</f>
        <v>87870.33</v>
      </c>
      <c r="K29" s="22">
        <f>K3*$S$64</f>
        <v>92263.846500000014</v>
      </c>
      <c r="L29" s="22">
        <f t="shared" ref="L29:N29" si="23">L3*$S$64</f>
        <v>96877.038825000025</v>
      </c>
      <c r="M29" s="22">
        <f t="shared" si="23"/>
        <v>101720.89076625003</v>
      </c>
      <c r="N29" s="22">
        <f t="shared" si="23"/>
        <v>106806.93530456252</v>
      </c>
      <c r="P29" s="17"/>
      <c r="T29" s="22"/>
      <c r="U29" s="22"/>
      <c r="V29" s="22"/>
      <c r="W29" s="22"/>
      <c r="X29" s="22"/>
    </row>
    <row r="30" spans="2:24">
      <c r="B30" s="17" t="str">
        <f>'Reformulering '!B32</f>
        <v>Maskiner (O)</v>
      </c>
      <c r="C30">
        <f>'Reformulering '!C32</f>
        <v>2699</v>
      </c>
      <c r="D30">
        <f>'Reformulering '!D32</f>
        <v>2370</v>
      </c>
      <c r="E30">
        <f>'Reformulering '!E32</f>
        <v>2044</v>
      </c>
      <c r="F30">
        <f>'Reformulering '!F32</f>
        <v>1733</v>
      </c>
      <c r="G30">
        <f>'Reformulering '!G32</f>
        <v>1560</v>
      </c>
      <c r="H30">
        <f>'Reformulering '!H32</f>
        <v>1388</v>
      </c>
      <c r="I30" s="242">
        <f>2234650/1000</f>
        <v>2234.65</v>
      </c>
      <c r="J30" s="332">
        <f>T65*J3</f>
        <v>3015.0618987538332</v>
      </c>
      <c r="K30" s="22">
        <f>K3*T65</f>
        <v>3165.8149936915247</v>
      </c>
      <c r="L30" s="22">
        <f>L3*$T$65</f>
        <v>3324.1057433761016</v>
      </c>
      <c r="M30" s="22">
        <f t="shared" ref="M30:N30" si="24">M3*$T$65</f>
        <v>3490.3110305449068</v>
      </c>
      <c r="N30" s="22">
        <f t="shared" si="24"/>
        <v>3664.8265820721517</v>
      </c>
      <c r="P30" s="17"/>
    </row>
    <row r="31" spans="2:24">
      <c r="B31" s="17" t="str">
        <f>'Reformulering '!B33</f>
        <v>Driftsløsøre/inventar (O)</v>
      </c>
      <c r="C31">
        <f>'Reformulering '!C33</f>
        <v>1493</v>
      </c>
      <c r="D31">
        <f>'Reformulering '!D33</f>
        <v>1579</v>
      </c>
      <c r="E31">
        <f>'Reformulering '!E33</f>
        <v>1505</v>
      </c>
      <c r="F31">
        <f>'Reformulering '!F33</f>
        <v>1608</v>
      </c>
      <c r="G31">
        <f>'Reformulering '!G33</f>
        <v>1441</v>
      </c>
      <c r="H31">
        <f>'Reformulering '!H33</f>
        <v>1864</v>
      </c>
      <c r="I31" s="242">
        <f>14142847/1000</f>
        <v>14142.847</v>
      </c>
      <c r="J31" s="332">
        <f>J3*$S$66</f>
        <v>12728.562300000001</v>
      </c>
      <c r="K31" s="22">
        <f t="shared" ref="K31:N31" si="25">K3*$S$66</f>
        <v>13364.990415000002</v>
      </c>
      <c r="L31" s="22">
        <f t="shared" si="25"/>
        <v>14033.239935750003</v>
      </c>
      <c r="M31" s="22">
        <f t="shared" si="25"/>
        <v>14734.901932537503</v>
      </c>
      <c r="N31" s="22">
        <f t="shared" si="25"/>
        <v>15471.647029164378</v>
      </c>
      <c r="P31" s="17"/>
    </row>
    <row r="32" spans="2:24" ht="15" thickBot="1">
      <c r="B32" s="15" t="str">
        <f>'Reformulering '!B34</f>
        <v>Sum Varige driftsmidler</v>
      </c>
      <c r="C32" s="5">
        <f>'Reformulering '!C34</f>
        <v>85481</v>
      </c>
      <c r="D32" s="5">
        <f>'Reformulering '!D34</f>
        <v>80743</v>
      </c>
      <c r="E32" s="5">
        <f>'Reformulering '!E34</f>
        <v>75372</v>
      </c>
      <c r="F32" s="5">
        <f>'Reformulering '!F34</f>
        <v>71807</v>
      </c>
      <c r="G32" s="5">
        <f>'Reformulering '!G34</f>
        <v>86055</v>
      </c>
      <c r="H32" s="5">
        <f>'Reformulering '!H34</f>
        <v>112524</v>
      </c>
      <c r="I32" s="246">
        <f>SUM(I29:I31)</f>
        <v>114011.19699999999</v>
      </c>
      <c r="J32" s="333">
        <f>SUM(J29:J31)</f>
        <v>103613.95419875384</v>
      </c>
      <c r="K32" s="23">
        <f>SUM(K29:K31)</f>
        <v>108794.65190869155</v>
      </c>
      <c r="L32" s="23">
        <f>SUM(L29:L31)</f>
        <v>114234.38450412612</v>
      </c>
      <c r="M32" s="23">
        <f t="shared" ref="M32:N32" si="26">SUM(M29:M31)</f>
        <v>119946.10372933243</v>
      </c>
      <c r="N32" s="23">
        <f t="shared" si="26"/>
        <v>125943.40891579905</v>
      </c>
      <c r="P32" s="17"/>
      <c r="S32" s="11"/>
      <c r="T32" s="22"/>
      <c r="U32" s="22"/>
      <c r="V32" s="22"/>
      <c r="W32" s="22"/>
      <c r="X32" s="22"/>
    </row>
    <row r="33" spans="2:24">
      <c r="B33" s="17" t="str">
        <f>'Reformulering '!B35</f>
        <v>Immaterielle eiendeler (O)</v>
      </c>
      <c r="C33">
        <f>'Reformulering '!C35</f>
        <v>1338</v>
      </c>
      <c r="D33">
        <f>'Reformulering '!D35</f>
        <v>62</v>
      </c>
      <c r="E33">
        <f>'Reformulering '!E35</f>
        <v>0</v>
      </c>
      <c r="F33">
        <f>'Reformulering '!F35</f>
        <v>0</v>
      </c>
      <c r="G33">
        <f>'Reformulering '!G35</f>
        <v>0</v>
      </c>
      <c r="H33">
        <f>'Reformulering '!H35</f>
        <v>0</v>
      </c>
      <c r="I33" s="242">
        <v>0</v>
      </c>
      <c r="J33" s="332">
        <v>0</v>
      </c>
      <c r="K33" s="22">
        <v>0</v>
      </c>
      <c r="L33" s="22">
        <v>0</v>
      </c>
      <c r="M33" s="22">
        <v>0</v>
      </c>
      <c r="N33" s="22">
        <v>0</v>
      </c>
      <c r="O33" s="22"/>
      <c r="P33" s="17"/>
      <c r="T33" s="22"/>
      <c r="U33" s="22"/>
      <c r="V33" s="22"/>
      <c r="W33" s="22"/>
      <c r="X33" s="22"/>
    </row>
    <row r="34" spans="2:24">
      <c r="B34" s="17" t="str">
        <f>'Reformulering '!B36</f>
        <v>Sum finansielle anleggsmidler (F)</v>
      </c>
      <c r="C34">
        <f>'Reformulering '!C36</f>
        <v>1</v>
      </c>
      <c r="D34">
        <f>'Reformulering '!D36</f>
        <v>273</v>
      </c>
      <c r="E34">
        <f>'Reformulering '!E36</f>
        <v>233</v>
      </c>
      <c r="F34">
        <f>'Reformulering '!F36</f>
        <v>194</v>
      </c>
      <c r="G34">
        <f>'Reformulering '!G36</f>
        <v>155</v>
      </c>
      <c r="H34">
        <f>'Reformulering '!H36</f>
        <v>116</v>
      </c>
      <c r="I34" s="242">
        <f>75279/1000</f>
        <v>75.278999999999996</v>
      </c>
      <c r="J34" s="332">
        <f>T68*J3</f>
        <v>231.84556912998406</v>
      </c>
      <c r="K34" s="22">
        <f>K3*T68</f>
        <v>243.43784758648326</v>
      </c>
      <c r="L34" s="22">
        <f>L3*$T$68</f>
        <v>255.60973996580745</v>
      </c>
      <c r="M34" s="22">
        <f t="shared" ref="M34:N34" si="27">M3*$T$68</f>
        <v>268.39022696409779</v>
      </c>
      <c r="N34" s="22">
        <f t="shared" si="27"/>
        <v>281.80973831230267</v>
      </c>
      <c r="P34" s="17"/>
      <c r="T34" s="22"/>
      <c r="U34" s="22"/>
      <c r="V34" s="22"/>
      <c r="W34" s="22"/>
      <c r="X34" s="22"/>
    </row>
    <row r="35" spans="2:24" ht="15" thickBot="1">
      <c r="B35" s="15" t="str">
        <f>'Reformulering '!B37</f>
        <v>Sum anleggsmidler</v>
      </c>
      <c r="C35" s="5">
        <f>'Reformulering '!C37</f>
        <v>86820</v>
      </c>
      <c r="D35" s="5">
        <f>'Reformulering '!D37</f>
        <v>81078</v>
      </c>
      <c r="E35" s="5">
        <f>'Reformulering '!E37</f>
        <v>75605</v>
      </c>
      <c r="F35" s="5">
        <f>'Reformulering '!F37</f>
        <v>72001</v>
      </c>
      <c r="G35" s="5">
        <f>'Reformulering '!G37</f>
        <v>86210</v>
      </c>
      <c r="H35" s="5">
        <f>'Reformulering '!H37</f>
        <v>112640</v>
      </c>
      <c r="I35" s="246">
        <f>SUM(I32:I34)</f>
        <v>114086.47599999998</v>
      </c>
      <c r="J35" s="333">
        <f>J32+J34</f>
        <v>103845.79976788383</v>
      </c>
      <c r="K35" s="23">
        <f>K32+K34</f>
        <v>109038.08975627803</v>
      </c>
      <c r="L35" s="23">
        <f>SUM(L32:L34)</f>
        <v>114489.99424409193</v>
      </c>
      <c r="M35" s="23">
        <f t="shared" ref="M35:N35" si="28">SUM(M32:M34)</f>
        <v>120214.49395629653</v>
      </c>
      <c r="N35" s="23">
        <f t="shared" si="28"/>
        <v>126225.21865411136</v>
      </c>
      <c r="P35" s="17"/>
      <c r="T35" s="22"/>
      <c r="U35" s="22"/>
      <c r="V35" s="22"/>
      <c r="W35" s="22"/>
      <c r="X35" s="22"/>
    </row>
    <row r="36" spans="2:24">
      <c r="B36" s="17" t="str">
        <f>'Reformulering '!B38</f>
        <v>Sum varelager(O)</v>
      </c>
      <c r="C36">
        <f>'Reformulering '!C38</f>
        <v>4009</v>
      </c>
      <c r="D36">
        <f>'Reformulering '!D38</f>
        <v>4701</v>
      </c>
      <c r="E36">
        <f>'Reformulering '!E38</f>
        <v>4267</v>
      </c>
      <c r="F36">
        <f>'Reformulering '!F38</f>
        <v>4621</v>
      </c>
      <c r="G36">
        <f>'Reformulering '!G38</f>
        <v>5866</v>
      </c>
      <c r="H36">
        <f>'Reformulering '!H38</f>
        <v>6710</v>
      </c>
      <c r="I36" s="242">
        <f>6387963/1000</f>
        <v>6387.9629999999997</v>
      </c>
      <c r="J36" s="332">
        <f>T69*J3</f>
        <v>7526.5972599211655</v>
      </c>
      <c r="K36" s="22">
        <f>T69*K3</f>
        <v>7902.9271229172246</v>
      </c>
      <c r="L36" s="22">
        <f>L3*$T$69</f>
        <v>8298.0734790630868</v>
      </c>
      <c r="M36" s="22">
        <f>M3*$T$69</f>
        <v>8712.9771530162416</v>
      </c>
      <c r="N36" s="22">
        <f>N3*$T$69</f>
        <v>9148.6260106670525</v>
      </c>
      <c r="P36" s="17"/>
      <c r="T36" s="22"/>
      <c r="U36" s="22"/>
      <c r="V36" s="22"/>
      <c r="W36" s="22"/>
      <c r="X36" s="22"/>
    </row>
    <row r="37" spans="2:24">
      <c r="B37" s="17" t="str">
        <f>'Reformulering '!B39</f>
        <v>Sum fordringer(O)</v>
      </c>
      <c r="C37">
        <f>'Reformulering '!C39</f>
        <v>2820</v>
      </c>
      <c r="D37">
        <f>'Reformulering '!D39</f>
        <v>2359</v>
      </c>
      <c r="E37">
        <f>'Reformulering '!E39</f>
        <v>1888</v>
      </c>
      <c r="F37">
        <f>'Reformulering '!F39</f>
        <v>1884</v>
      </c>
      <c r="G37">
        <f>'Reformulering '!G39</f>
        <v>2170</v>
      </c>
      <c r="H37">
        <f>'Reformulering '!H39</f>
        <v>12972</v>
      </c>
      <c r="I37" s="242">
        <f>19073912/1000</f>
        <v>19073.912</v>
      </c>
      <c r="J37" s="332"/>
      <c r="K37" s="22">
        <f>(K3+K5)/365*Likviditetsanalyse!$X$16</f>
        <v>8971.9299359846918</v>
      </c>
      <c r="L37" s="22">
        <f>(L3+L5)/365*Likviditetsanalyse!$X$16</f>
        <v>9420.5264327839286</v>
      </c>
      <c r="M37" s="22">
        <f>(M3+M5)/365*Likviditetsanalyse!$X$16</f>
        <v>9891.5527544231245</v>
      </c>
      <c r="N37" s="22">
        <f>(N3+N5)/365*Likviditetsanalyse!$X$16</f>
        <v>10386.13039214428</v>
      </c>
      <c r="P37" s="17"/>
      <c r="T37" s="22"/>
      <c r="U37" s="22"/>
      <c r="V37" s="22"/>
      <c r="W37" s="22"/>
      <c r="X37" s="22"/>
    </row>
    <row r="38" spans="2:24">
      <c r="B38" s="17" t="str">
        <f>'Reformulering '!B40</f>
        <v>Operasjonelle kontanter (O)</v>
      </c>
      <c r="C38">
        <f>'Reformulering '!C40</f>
        <v>1310.56</v>
      </c>
      <c r="D38">
        <f>'Reformulering '!D40</f>
        <v>1392.5</v>
      </c>
      <c r="E38">
        <f>'Reformulering '!E40</f>
        <v>1267.8600000000001</v>
      </c>
      <c r="F38">
        <f>'Reformulering '!F40</f>
        <v>1444.26</v>
      </c>
      <c r="G38">
        <f>'Reformulering '!G40</f>
        <v>1480.08</v>
      </c>
      <c r="H38">
        <f>'Reformulering '!H40</f>
        <v>1846.22</v>
      </c>
      <c r="I38" s="242">
        <f>868387/1000</f>
        <v>868.38699999999994</v>
      </c>
      <c r="J38" s="332">
        <f>T71*J3</f>
        <v>2278.7426700000001</v>
      </c>
      <c r="K38" s="22">
        <f>T71*K3</f>
        <v>2392.6798035000002</v>
      </c>
      <c r="L38" s="22">
        <f>L3*$T$71</f>
        <v>2512.3137936750004</v>
      </c>
      <c r="M38" s="22">
        <f t="shared" ref="M38:N38" si="29">M3*$T$71</f>
        <v>2637.9294833587505</v>
      </c>
      <c r="N38" s="22">
        <f t="shared" si="29"/>
        <v>2769.8259575266879</v>
      </c>
      <c r="P38" s="17"/>
      <c r="T38" s="22"/>
      <c r="U38" s="22"/>
      <c r="V38" s="22"/>
      <c r="W38" s="22"/>
      <c r="X38" s="22"/>
    </row>
    <row r="39" spans="2:24">
      <c r="B39" s="17" t="str">
        <f>'Reformulering '!B41</f>
        <v>Overskytende kasse/bank/post(F)</v>
      </c>
      <c r="C39">
        <f>'Reformulering '!C41</f>
        <v>7916.4400000000005</v>
      </c>
      <c r="D39">
        <f>'Reformulering '!D41</f>
        <v>11783.5</v>
      </c>
      <c r="E39">
        <f>'Reformulering '!E41</f>
        <v>15900.14</v>
      </c>
      <c r="F39">
        <f>'Reformulering '!F41</f>
        <v>20448.740000000002</v>
      </c>
      <c r="G39">
        <f>'Reformulering '!G41</f>
        <v>6312.92</v>
      </c>
      <c r="H39">
        <f>'Reformulering '!H41</f>
        <v>3986.7799999999997</v>
      </c>
      <c r="I39" s="242">
        <v>0</v>
      </c>
      <c r="J39" s="332">
        <f>J3*$T$72</f>
        <v>15504.193961060671</v>
      </c>
      <c r="K39" s="22">
        <f t="shared" ref="K39:N39" si="30">K3*$T$72</f>
        <v>16279.403659113705</v>
      </c>
      <c r="L39" s="22">
        <f t="shared" si="30"/>
        <v>17093.373842069392</v>
      </c>
      <c r="M39" s="22">
        <f t="shared" si="30"/>
        <v>17948.042534172862</v>
      </c>
      <c r="N39" s="22">
        <f t="shared" si="30"/>
        <v>18845.444660881505</v>
      </c>
      <c r="P39" s="332"/>
      <c r="T39" s="22"/>
      <c r="U39" s="22"/>
      <c r="V39" s="22"/>
      <c r="W39" s="22"/>
      <c r="X39" s="22"/>
    </row>
    <row r="40" spans="2:24">
      <c r="B40" s="17" t="str">
        <f>'Reformulering '!B42</f>
        <v>Investeringer i aksjer og andeler(F)</v>
      </c>
      <c r="C40">
        <f>'Reformulering '!C42</f>
        <v>1</v>
      </c>
      <c r="D40">
        <f>'Reformulering '!D42</f>
        <v>1</v>
      </c>
      <c r="E40">
        <f>'Reformulering '!E42</f>
        <v>1</v>
      </c>
      <c r="F40">
        <f>'Reformulering '!F42</f>
        <v>1</v>
      </c>
      <c r="G40">
        <f>'Reformulering '!G42</f>
        <v>1</v>
      </c>
      <c r="H40">
        <f>'Reformulering '!H42</f>
        <v>1</v>
      </c>
      <c r="I40" s="242">
        <v>1</v>
      </c>
      <c r="J40" s="332">
        <v>1</v>
      </c>
      <c r="K40" s="22">
        <v>1</v>
      </c>
      <c r="L40" s="22">
        <v>1</v>
      </c>
      <c r="M40" s="22">
        <v>1</v>
      </c>
      <c r="N40" s="22">
        <v>1</v>
      </c>
      <c r="P40" s="17"/>
      <c r="S40" s="11"/>
      <c r="T40" s="22"/>
      <c r="U40" s="22"/>
      <c r="V40" s="22"/>
      <c r="W40" s="22"/>
      <c r="X40" s="22"/>
    </row>
    <row r="41" spans="2:24">
      <c r="B41" s="296" t="str">
        <f>'Reformulering '!B43</f>
        <v>Sum omløpsmidler</v>
      </c>
      <c r="C41" s="8">
        <f>'Reformulering '!C43</f>
        <v>16057</v>
      </c>
      <c r="D41" s="8">
        <f>'Reformulering '!D43</f>
        <v>20237</v>
      </c>
      <c r="E41" s="8">
        <f>'Reformulering '!E43</f>
        <v>23324</v>
      </c>
      <c r="F41" s="8">
        <f>'Reformulering '!F43</f>
        <v>28399</v>
      </c>
      <c r="G41" s="8">
        <f>'Reformulering '!G43</f>
        <v>15830</v>
      </c>
      <c r="H41" s="8">
        <f>'Reformulering '!H43</f>
        <v>25516</v>
      </c>
      <c r="I41" s="448">
        <f>SUM(I36:I40)</f>
        <v>26331.261999999999</v>
      </c>
      <c r="J41" s="334">
        <f>SUM(J36:J40)</f>
        <v>25310.533890981838</v>
      </c>
      <c r="K41" s="41">
        <f>SUM(K36:K40)</f>
        <v>35547.940521515615</v>
      </c>
      <c r="L41" s="41">
        <f>SUM(L36:L40)</f>
        <v>37325.287547591404</v>
      </c>
      <c r="M41" s="41">
        <f t="shared" ref="M41:N41" si="31">SUM(M36:M40)</f>
        <v>39191.50192497098</v>
      </c>
      <c r="N41" s="41">
        <f t="shared" si="31"/>
        <v>41151.027021219532</v>
      </c>
      <c r="P41" s="17"/>
    </row>
    <row r="42" spans="2:24" ht="15" thickBot="1">
      <c r="B42" s="349" t="str">
        <f>'Reformulering '!B44</f>
        <v>Sum eiendeler</v>
      </c>
      <c r="C42" s="230">
        <f>'Reformulering '!C44</f>
        <v>102877</v>
      </c>
      <c r="D42" s="230">
        <f>'Reformulering '!D44</f>
        <v>101315</v>
      </c>
      <c r="E42" s="230">
        <f>'Reformulering '!E44</f>
        <v>98929</v>
      </c>
      <c r="F42" s="230">
        <f>'Reformulering '!F44</f>
        <v>100400</v>
      </c>
      <c r="G42" s="230">
        <f>'Reformulering '!G44</f>
        <v>102040</v>
      </c>
      <c r="H42" s="230">
        <f>'Reformulering '!H44</f>
        <v>138156</v>
      </c>
      <c r="I42" s="449">
        <f>I35+I41</f>
        <v>140417.73799999998</v>
      </c>
      <c r="J42" s="335">
        <f>J41+J35</f>
        <v>129156.33365886567</v>
      </c>
      <c r="K42" s="231">
        <f>K41+K35</f>
        <v>144586.03027779364</v>
      </c>
      <c r="L42" s="231">
        <f>L35+L41</f>
        <v>151815.28179168334</v>
      </c>
      <c r="M42" s="231">
        <f>M35+M41</f>
        <v>159405.9958812675</v>
      </c>
      <c r="N42" s="231">
        <f>N35+N41</f>
        <v>167376.24567533089</v>
      </c>
      <c r="P42" s="17"/>
      <c r="S42" s="11"/>
      <c r="T42" s="22"/>
      <c r="U42" s="22"/>
      <c r="V42" s="22"/>
      <c r="W42" s="22"/>
      <c r="X42" s="22"/>
    </row>
    <row r="43" spans="2:24" ht="15" thickTop="1">
      <c r="J43" s="19"/>
      <c r="P43" s="17"/>
    </row>
    <row r="44" spans="2:24" ht="21">
      <c r="B44" s="562" t="s">
        <v>0</v>
      </c>
      <c r="C44" s="563"/>
      <c r="D44" s="563"/>
      <c r="E44" s="563"/>
      <c r="F44" s="563"/>
      <c r="G44" s="563"/>
      <c r="H44" s="563"/>
      <c r="I44" s="566"/>
      <c r="J44" s="562" t="s">
        <v>1</v>
      </c>
      <c r="K44" s="563"/>
      <c r="L44" s="563"/>
      <c r="M44" s="563"/>
      <c r="N44" s="563"/>
      <c r="O44" s="343"/>
      <c r="P44" s="17"/>
    </row>
    <row r="45" spans="2:24">
      <c r="B45" s="297" t="str">
        <f>'Reformulering '!J29</f>
        <v>Balancesheet</v>
      </c>
      <c r="C45" s="227">
        <f>'Reformulering '!K29</f>
        <v>2016</v>
      </c>
      <c r="D45" s="227">
        <f>'Reformulering '!L29</f>
        <v>2017</v>
      </c>
      <c r="E45" s="227">
        <f>'Reformulering '!M29</f>
        <v>2018</v>
      </c>
      <c r="F45" s="227">
        <f>'Reformulering '!N29</f>
        <v>2019</v>
      </c>
      <c r="G45" s="227">
        <f>'Reformulering '!O29</f>
        <v>2020</v>
      </c>
      <c r="H45" s="227">
        <f>'Reformulering '!P29</f>
        <v>2021</v>
      </c>
      <c r="I45" s="227">
        <v>2022</v>
      </c>
      <c r="J45" s="331">
        <v>2023</v>
      </c>
      <c r="K45" s="227">
        <v>2024</v>
      </c>
      <c r="L45" s="227">
        <v>2025</v>
      </c>
      <c r="M45" s="227">
        <v>2026</v>
      </c>
      <c r="N45" s="227">
        <v>2027</v>
      </c>
      <c r="O45" s="227" t="s">
        <v>5</v>
      </c>
      <c r="P45" s="17"/>
    </row>
    <row r="46" spans="2:24">
      <c r="B46" s="17" t="str">
        <f>'Reformulering '!J30</f>
        <v>Innskutt EK</v>
      </c>
      <c r="C46" s="22">
        <f>'Reformulering '!K30</f>
        <v>20000</v>
      </c>
      <c r="D46" s="22">
        <f>'Reformulering '!L30</f>
        <v>20000</v>
      </c>
      <c r="E46" s="22">
        <f>'Reformulering '!M30</f>
        <v>20000</v>
      </c>
      <c r="F46" s="22">
        <f>'Reformulering '!N30</f>
        <v>20000</v>
      </c>
      <c r="G46" s="22">
        <f>'Reformulering '!O30</f>
        <v>20000</v>
      </c>
      <c r="H46" s="22">
        <f>'Reformulering '!P30</f>
        <v>20000</v>
      </c>
      <c r="I46" s="244">
        <f t="shared" ref="I46:N46" si="32">H46</f>
        <v>20000</v>
      </c>
      <c r="J46" s="332">
        <f t="shared" si="32"/>
        <v>20000</v>
      </c>
      <c r="K46" s="22">
        <f t="shared" si="32"/>
        <v>20000</v>
      </c>
      <c r="L46" s="22">
        <f t="shared" si="32"/>
        <v>20000</v>
      </c>
      <c r="M46" s="22">
        <f t="shared" si="32"/>
        <v>20000</v>
      </c>
      <c r="N46" s="22">
        <f t="shared" si="32"/>
        <v>20000</v>
      </c>
      <c r="P46" s="17"/>
    </row>
    <row r="47" spans="2:24">
      <c r="B47" s="17" t="str">
        <f>'Reformulering '!J31</f>
        <v>Opptjent EK</v>
      </c>
      <c r="C47" s="22">
        <f>'Reformulering '!K31</f>
        <v>-4321</v>
      </c>
      <c r="D47" s="22">
        <f>'Reformulering '!L31</f>
        <v>-291</v>
      </c>
      <c r="E47" s="22">
        <f>'Reformulering '!M31</f>
        <v>1728</v>
      </c>
      <c r="F47" s="22">
        <f>'Reformulering '!N31</f>
        <v>4661</v>
      </c>
      <c r="G47" s="22">
        <f>'Reformulering '!O31</f>
        <v>6411</v>
      </c>
      <c r="H47" s="22">
        <f>'Reformulering '!P31</f>
        <v>8541</v>
      </c>
      <c r="I47" s="244">
        <v>19383.859</v>
      </c>
      <c r="J47" s="332">
        <f>J3*$J$77</f>
        <v>5761.1892341620378</v>
      </c>
      <c r="K47" s="22">
        <f>K3*$J$77</f>
        <v>6049.2486958701393</v>
      </c>
      <c r="L47" s="22">
        <f>L3*$J$77</f>
        <v>6351.7111306636471</v>
      </c>
      <c r="M47" s="22">
        <f>M3*$J$77</f>
        <v>6669.2966871968292</v>
      </c>
      <c r="N47" s="22">
        <f>N3*$J$77</f>
        <v>7002.7615215566711</v>
      </c>
      <c r="P47" s="17"/>
    </row>
    <row r="48" spans="2:24" ht="15" thickBot="1">
      <c r="B48" s="15" t="str">
        <f>'Reformulering '!J32</f>
        <v>Sum EK</v>
      </c>
      <c r="C48" s="23">
        <f>'Reformulering '!K32</f>
        <v>15679</v>
      </c>
      <c r="D48" s="23">
        <f>'Reformulering '!L32</f>
        <v>19709</v>
      </c>
      <c r="E48" s="23">
        <f>'Reformulering '!M32</f>
        <v>21728</v>
      </c>
      <c r="F48" s="23">
        <f>'Reformulering '!N32</f>
        <v>24661</v>
      </c>
      <c r="G48" s="23">
        <f>'Reformulering '!O32</f>
        <v>26411</v>
      </c>
      <c r="H48" s="23">
        <f>'Reformulering '!P32</f>
        <v>28541</v>
      </c>
      <c r="I48" s="246">
        <f>I46+I47</f>
        <v>39383.858999999997</v>
      </c>
      <c r="J48" s="333">
        <f t="shared" ref="J48:O48" si="33">J46+J47</f>
        <v>25761.189234162037</v>
      </c>
      <c r="K48" s="23">
        <f t="shared" si="33"/>
        <v>26049.248695870141</v>
      </c>
      <c r="L48" s="23">
        <f t="shared" si="33"/>
        <v>26351.711130663647</v>
      </c>
      <c r="M48" s="23">
        <f t="shared" si="33"/>
        <v>26669.296687196831</v>
      </c>
      <c r="N48" s="23">
        <f t="shared" si="33"/>
        <v>27002.761521556669</v>
      </c>
      <c r="O48" s="23">
        <f t="shared" si="33"/>
        <v>0</v>
      </c>
      <c r="P48" s="17"/>
    </row>
    <row r="49" spans="2:21">
      <c r="B49" s="17" t="str">
        <f>'Reformulering '!J33</f>
        <v>Sum avsetninger til forpliktelser (Utsatt skatt) (O)</v>
      </c>
      <c r="C49" s="22">
        <f>'Reformulering '!K33</f>
        <v>0</v>
      </c>
      <c r="D49" s="22">
        <f>'Reformulering '!L33</f>
        <v>0</v>
      </c>
      <c r="E49" s="22">
        <f>'Reformulering '!M33</f>
        <v>934</v>
      </c>
      <c r="F49" s="22">
        <f>'Reformulering '!N33</f>
        <v>1076</v>
      </c>
      <c r="G49" s="22">
        <f>'Reformulering '!O33</f>
        <v>993</v>
      </c>
      <c r="H49" s="22">
        <f>'Reformulering '!P33</f>
        <v>1147</v>
      </c>
      <c r="I49" s="244">
        <v>629.57600000000002</v>
      </c>
      <c r="J49" s="332"/>
      <c r="K49" s="22"/>
      <c r="L49" s="22"/>
      <c r="M49" s="22"/>
      <c r="N49" s="22"/>
      <c r="P49" s="17"/>
    </row>
    <row r="50" spans="2:21">
      <c r="B50" s="17" t="str">
        <f>'Reformulering '!J34</f>
        <v xml:space="preserve">Pant/gjeld til kredittinstitusjoner (F) </v>
      </c>
      <c r="C50" s="22">
        <f>'Reformulering '!K34</f>
        <v>80442</v>
      </c>
      <c r="D50" s="22">
        <f>'Reformulering '!L34</f>
        <v>74265</v>
      </c>
      <c r="E50" s="22">
        <f>'Reformulering '!M34</f>
        <v>68089</v>
      </c>
      <c r="F50" s="22">
        <f>'Reformulering '!N34</f>
        <v>61912</v>
      </c>
      <c r="G50" s="22">
        <f>'Reformulering '!O34</f>
        <v>55736</v>
      </c>
      <c r="H50" s="22">
        <f>'Reformulering '!P34</f>
        <v>90716</v>
      </c>
      <c r="I50" s="244">
        <f>79596.806+13783.18</f>
        <v>93379.986000000004</v>
      </c>
      <c r="J50" s="332"/>
      <c r="K50" s="22"/>
      <c r="L50" s="22"/>
      <c r="M50" s="22"/>
      <c r="N50" s="22"/>
      <c r="P50" s="17"/>
    </row>
    <row r="51" spans="2:21" ht="15" thickBot="1">
      <c r="B51" s="15" t="str">
        <f>'Reformulering '!J35</f>
        <v>Sum langsiktig gjeld</v>
      </c>
      <c r="C51" s="23">
        <f>'Reformulering '!K35</f>
        <v>80442</v>
      </c>
      <c r="D51" s="23">
        <f>'Reformulering '!L35</f>
        <v>74265</v>
      </c>
      <c r="E51" s="23">
        <f>'Reformulering '!M35</f>
        <v>69023</v>
      </c>
      <c r="F51" s="23">
        <f>'Reformulering '!N35</f>
        <v>62988</v>
      </c>
      <c r="G51" s="23">
        <f>'Reformulering '!O35</f>
        <v>56729</v>
      </c>
      <c r="H51" s="23">
        <f>'Reformulering '!P35</f>
        <v>91863</v>
      </c>
      <c r="I51" s="246">
        <f>I50+I49</f>
        <v>94009.562000000005</v>
      </c>
      <c r="J51" s="23">
        <f t="shared" ref="J51:O51" si="34">J50+J49</f>
        <v>0</v>
      </c>
      <c r="K51" s="23">
        <f t="shared" si="34"/>
        <v>0</v>
      </c>
      <c r="L51" s="23">
        <f t="shared" si="34"/>
        <v>0</v>
      </c>
      <c r="M51" s="23">
        <f t="shared" si="34"/>
        <v>0</v>
      </c>
      <c r="N51" s="23">
        <f t="shared" si="34"/>
        <v>0</v>
      </c>
      <c r="O51" s="23">
        <f t="shared" si="34"/>
        <v>0</v>
      </c>
      <c r="P51" s="17"/>
    </row>
    <row r="52" spans="2:21">
      <c r="B52" s="17" t="str">
        <f>'Reformulering '!J36</f>
        <v>Leverandørgjeld (O)</v>
      </c>
      <c r="C52" s="22">
        <f>'Reformulering '!K36</f>
        <v>3289</v>
      </c>
      <c r="D52" s="22">
        <f>'Reformulering '!L36</f>
        <v>4284</v>
      </c>
      <c r="E52" s="22">
        <f>'Reformulering '!M36</f>
        <v>4121</v>
      </c>
      <c r="F52" s="22">
        <f>'Reformulering '!N36</f>
        <v>5466</v>
      </c>
      <c r="G52" s="22">
        <f>'Reformulering '!O36</f>
        <v>5777</v>
      </c>
      <c r="H52" s="22">
        <f>'Reformulering '!P36</f>
        <v>8520</v>
      </c>
      <c r="I52" s="244">
        <v>10638.789000000001</v>
      </c>
      <c r="J52" s="332">
        <f>J6/365*Likviditetsanalyse!$X$25</f>
        <v>8145.1694128169247</v>
      </c>
      <c r="K52" s="22">
        <f>K6/365*Likviditetsanalyse!$X$25</f>
        <v>8552.4278834577708</v>
      </c>
      <c r="L52" s="22">
        <f>L6/365*Likviditetsanalyse!$X$25</f>
        <v>8980.0492776306601</v>
      </c>
      <c r="M52" s="22">
        <f>M6/365*Likviditetsanalyse!$X$25</f>
        <v>9429.051741512194</v>
      </c>
      <c r="N52" s="22">
        <f>N6/365*Likviditetsanalyse!$X$25</f>
        <v>9900.5043285878037</v>
      </c>
      <c r="P52" s="17"/>
    </row>
    <row r="53" spans="2:21">
      <c r="B53" s="17" t="str">
        <f>'Reformulering '!J37</f>
        <v>Skyldig offentlige avgifter (O)</v>
      </c>
      <c r="C53" s="22">
        <f>'Reformulering '!K37</f>
        <v>654</v>
      </c>
      <c r="D53" s="22">
        <f>'Reformulering '!L37</f>
        <v>964</v>
      </c>
      <c r="E53" s="22">
        <f>'Reformulering '!M37</f>
        <v>908</v>
      </c>
      <c r="F53" s="22">
        <f>'Reformulering '!N37</f>
        <v>732</v>
      </c>
      <c r="G53" s="22">
        <f>'Reformulering '!O37</f>
        <v>822</v>
      </c>
      <c r="H53" s="22">
        <f>'Reformulering '!P37</f>
        <v>1175</v>
      </c>
      <c r="I53" s="244">
        <v>270.52</v>
      </c>
      <c r="J53" s="332">
        <f>J3*$J$73</f>
        <v>1143.5897118455332</v>
      </c>
      <c r="K53" s="22">
        <f t="shared" ref="K53:O53" si="35">K3*$J$73</f>
        <v>1200.7691974378099</v>
      </c>
      <c r="L53" s="22">
        <f t="shared" si="35"/>
        <v>1260.8076573097005</v>
      </c>
      <c r="M53" s="22">
        <f t="shared" si="35"/>
        <v>1323.8480401751856</v>
      </c>
      <c r="N53" s="22">
        <f t="shared" si="35"/>
        <v>1390.0404421839448</v>
      </c>
      <c r="O53" s="6">
        <f t="shared" si="35"/>
        <v>1417.8412510276237</v>
      </c>
      <c r="P53" s="17"/>
    </row>
    <row r="54" spans="2:21">
      <c r="B54" s="17" t="str">
        <f>'Reformulering '!J38</f>
        <v xml:space="preserve">Ordinært utbytte (F) </v>
      </c>
      <c r="C54" s="22">
        <f>'Reformulering '!K38</f>
        <v>0</v>
      </c>
      <c r="D54" s="22">
        <f>'Reformulering '!L38</f>
        <v>0</v>
      </c>
      <c r="E54" s="22">
        <f>'Reformulering '!M38</f>
        <v>1500</v>
      </c>
      <c r="F54" s="22">
        <f>'Reformulering '!N38</f>
        <v>2900</v>
      </c>
      <c r="G54" s="22">
        <f>'Reformulering '!O38</f>
        <v>7000</v>
      </c>
      <c r="H54" s="22">
        <f>'Reformulering '!P38</f>
        <v>0</v>
      </c>
      <c r="I54" s="244">
        <v>0</v>
      </c>
      <c r="J54" s="33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17"/>
    </row>
    <row r="55" spans="2:21">
      <c r="B55" s="17" t="str">
        <f>'Reformulering '!J39</f>
        <v xml:space="preserve">Annen kortsiktig gjeld (O) </v>
      </c>
      <c r="C55" s="22">
        <f>'Reformulering '!K39</f>
        <v>2813</v>
      </c>
      <c r="D55" s="22">
        <f>'Reformulering '!L39</f>
        <v>2092</v>
      </c>
      <c r="E55" s="22">
        <f>'Reformulering '!M39</f>
        <v>1649</v>
      </c>
      <c r="F55" s="22">
        <f>'Reformulering '!N39</f>
        <v>2138</v>
      </c>
      <c r="G55" s="22">
        <f>'Reformulering '!O39</f>
        <v>2747</v>
      </c>
      <c r="H55" s="22">
        <f>'Reformulering '!P39</f>
        <v>7610</v>
      </c>
      <c r="I55" s="244">
        <v>4475.05</v>
      </c>
      <c r="J55" s="332">
        <f t="shared" ref="J55:O55" si="36">(J3+J5)*$J$74</f>
        <v>4796.810860802163</v>
      </c>
      <c r="K55" s="22">
        <f t="shared" si="36"/>
        <v>5036.6514038422711</v>
      </c>
      <c r="L55" s="22">
        <f t="shared" si="36"/>
        <v>5288.483974034385</v>
      </c>
      <c r="M55" s="22">
        <f t="shared" si="36"/>
        <v>5552.9081727361054</v>
      </c>
      <c r="N55" s="22">
        <f t="shared" si="36"/>
        <v>5830.5535813729093</v>
      </c>
      <c r="O55" s="22">
        <f t="shared" si="36"/>
        <v>5947.1646530003682</v>
      </c>
      <c r="P55" s="17"/>
    </row>
    <row r="56" spans="2:21">
      <c r="B56" s="17" t="str">
        <f>'Reformulering '!J40</f>
        <v>Betalbar skatt (O)</v>
      </c>
      <c r="C56" s="22">
        <f>'Reformulering '!K40</f>
        <v>0</v>
      </c>
      <c r="D56" s="22">
        <f>'Reformulering '!L40</f>
        <v>0</v>
      </c>
      <c r="E56" s="22">
        <f>'Reformulering '!M40</f>
        <v>0</v>
      </c>
      <c r="F56" s="22">
        <f>'Reformulering '!N40</f>
        <v>1513</v>
      </c>
      <c r="G56" s="22">
        <f>'Reformulering '!O40</f>
        <v>2554</v>
      </c>
      <c r="H56" s="22">
        <f>'Reformulering '!P40</f>
        <v>447</v>
      </c>
      <c r="I56" s="244">
        <v>3576.538</v>
      </c>
      <c r="J56" s="332">
        <f t="shared" ref="J56:O56" si="37">(J3+J5)*$J$75</f>
        <v>2014.031425586739</v>
      </c>
      <c r="K56" s="22">
        <f t="shared" si="37"/>
        <v>2114.7329968660761</v>
      </c>
      <c r="L56" s="22">
        <f t="shared" si="37"/>
        <v>2220.46964670938</v>
      </c>
      <c r="M56" s="22">
        <f t="shared" si="37"/>
        <v>2331.4931290448494</v>
      </c>
      <c r="N56" s="22">
        <f t="shared" si="37"/>
        <v>2448.0677854970913</v>
      </c>
      <c r="O56" s="22">
        <f t="shared" si="37"/>
        <v>2497.0291412070337</v>
      </c>
      <c r="P56" s="17"/>
    </row>
    <row r="57" spans="2:21">
      <c r="B57" s="296" t="str">
        <f>'Reformulering '!J41</f>
        <v>Sum kortsiktig gjeld</v>
      </c>
      <c r="C57" s="41">
        <f>'Reformulering '!K41</f>
        <v>6756</v>
      </c>
      <c r="D57" s="41">
        <f>'Reformulering '!L41</f>
        <v>7340</v>
      </c>
      <c r="E57" s="41">
        <f>'Reformulering '!M41</f>
        <v>8178</v>
      </c>
      <c r="F57" s="41">
        <f>'Reformulering '!N41</f>
        <v>12749</v>
      </c>
      <c r="G57" s="41">
        <f>'Reformulering '!O41</f>
        <v>18900</v>
      </c>
      <c r="H57" s="41">
        <f>'Reformulering '!P41</f>
        <v>17752</v>
      </c>
      <c r="I57" s="450">
        <f>SUM(I52:I56)</f>
        <v>18960.897000000001</v>
      </c>
      <c r="J57" s="332"/>
      <c r="K57" s="22"/>
      <c r="L57" s="22"/>
      <c r="M57" s="22"/>
      <c r="N57" s="22"/>
      <c r="P57" s="17"/>
    </row>
    <row r="58" spans="2:21" ht="15" thickBot="1">
      <c r="B58" s="325" t="str">
        <f>'Reformulering '!J42</f>
        <v>Sum gjeld</v>
      </c>
      <c r="C58" s="323">
        <f>'Reformulering '!K42</f>
        <v>87198</v>
      </c>
      <c r="D58" s="323">
        <f>'Reformulering '!L42</f>
        <v>81605</v>
      </c>
      <c r="E58" s="323">
        <f>'Reformulering '!M42</f>
        <v>77201</v>
      </c>
      <c r="F58" s="323">
        <f>'Reformulering '!N42</f>
        <v>75737</v>
      </c>
      <c r="G58" s="323">
        <f>'Reformulering '!O42</f>
        <v>75629</v>
      </c>
      <c r="H58" s="323">
        <f>'Reformulering '!P42</f>
        <v>109615</v>
      </c>
      <c r="I58" s="451">
        <f>I51+I57-11936.579</f>
        <v>101033.88</v>
      </c>
      <c r="J58" s="350"/>
      <c r="K58" s="323"/>
      <c r="L58" s="323"/>
      <c r="M58" s="323"/>
      <c r="N58" s="323"/>
      <c r="O58" s="323"/>
      <c r="P58" s="17"/>
    </row>
    <row r="59" spans="2:21">
      <c r="B59" s="17"/>
      <c r="C59" s="22"/>
      <c r="D59" s="22"/>
      <c r="E59" s="22"/>
      <c r="F59" s="22"/>
      <c r="G59" s="22"/>
      <c r="H59" s="22"/>
      <c r="I59" s="244"/>
      <c r="J59" s="22"/>
      <c r="L59" s="22"/>
      <c r="M59" s="22"/>
      <c r="N59" s="22"/>
      <c r="P59" s="17"/>
    </row>
    <row r="60" spans="2:21" ht="15" thickBot="1">
      <c r="B60" s="15" t="str">
        <f>'Reformulering '!J44</f>
        <v>Sum ek og gjeld</v>
      </c>
      <c r="C60" s="23">
        <f t="shared" ref="C60:H60" si="38">C58+C48</f>
        <v>102877</v>
      </c>
      <c r="D60" s="23">
        <f t="shared" si="38"/>
        <v>101314</v>
      </c>
      <c r="E60" s="23">
        <f t="shared" si="38"/>
        <v>98929</v>
      </c>
      <c r="F60" s="23">
        <f t="shared" si="38"/>
        <v>100398</v>
      </c>
      <c r="G60" s="23">
        <f t="shared" si="38"/>
        <v>102040</v>
      </c>
      <c r="H60" s="23">
        <f t="shared" si="38"/>
        <v>138156</v>
      </c>
      <c r="I60" s="246">
        <f>I58+I48</f>
        <v>140417.739</v>
      </c>
      <c r="J60" s="333"/>
      <c r="K60" s="23"/>
      <c r="L60" s="23"/>
      <c r="M60" s="23"/>
      <c r="N60" s="23"/>
      <c r="O60" s="23"/>
      <c r="P60" s="17"/>
    </row>
    <row r="61" spans="2:21">
      <c r="B61" s="19"/>
      <c r="C61" s="20"/>
      <c r="D61" s="20"/>
      <c r="E61" s="20"/>
      <c r="F61" s="20"/>
      <c r="G61" s="20"/>
      <c r="H61" s="20"/>
      <c r="I61" s="20"/>
      <c r="J61" s="19"/>
      <c r="K61" s="20"/>
      <c r="L61" s="20"/>
      <c r="M61" s="20"/>
      <c r="N61" s="20"/>
      <c r="O61" s="20"/>
      <c r="P61" s="17"/>
    </row>
    <row r="63" spans="2:21">
      <c r="B63" s="261" t="s">
        <v>6</v>
      </c>
      <c r="C63" s="299">
        <v>2016</v>
      </c>
      <c r="D63" s="299">
        <v>2017</v>
      </c>
      <c r="E63" s="299">
        <v>2018</v>
      </c>
      <c r="F63" s="299">
        <v>2019</v>
      </c>
      <c r="G63" s="299">
        <v>2020</v>
      </c>
      <c r="H63" s="299">
        <v>2021</v>
      </c>
      <c r="I63" s="299">
        <v>2022</v>
      </c>
      <c r="J63" s="300" t="s">
        <v>7</v>
      </c>
      <c r="L63" s="261" t="s">
        <v>6</v>
      </c>
      <c r="M63" s="299">
        <v>2016</v>
      </c>
      <c r="N63" s="299">
        <v>2017</v>
      </c>
      <c r="O63" s="299">
        <v>2018</v>
      </c>
      <c r="P63" s="299">
        <v>2019</v>
      </c>
      <c r="Q63" s="299">
        <v>2020</v>
      </c>
      <c r="R63" s="299">
        <v>2021</v>
      </c>
      <c r="S63" s="299">
        <v>2022</v>
      </c>
      <c r="T63" s="300" t="s">
        <v>8</v>
      </c>
    </row>
    <row r="64" spans="2:21">
      <c r="B64" s="17" t="s">
        <v>9</v>
      </c>
      <c r="C64" s="264">
        <f>C6/(C3+C5)</f>
        <v>0.23469046460715154</v>
      </c>
      <c r="D64" s="264">
        <f t="shared" ref="D64:I64" si="39">D6/(D3+D5)</f>
        <v>0.24951927870440269</v>
      </c>
      <c r="E64" s="264">
        <f t="shared" si="39"/>
        <v>0.2120997672516827</v>
      </c>
      <c r="F64" s="264">
        <f t="shared" si="39"/>
        <v>0.23512591344227873</v>
      </c>
      <c r="G64" s="264">
        <f t="shared" si="39"/>
        <v>0.2458161386151923</v>
      </c>
      <c r="H64" s="264">
        <f t="shared" si="39"/>
        <v>0.26272217377730411</v>
      </c>
      <c r="I64" s="264">
        <f t="shared" si="39"/>
        <v>0.24640969947275307</v>
      </c>
      <c r="J64" s="326">
        <f>AVERAGE(E64:I64)</f>
        <v>0.24043473851184216</v>
      </c>
      <c r="K64" s="65"/>
      <c r="L64" s="17" t="s">
        <v>10</v>
      </c>
      <c r="M64" s="60">
        <f t="shared" ref="M64:S64" si="40">C29/C3</f>
        <v>1.2405231351483335</v>
      </c>
      <c r="N64" s="60">
        <f t="shared" si="40"/>
        <v>1.1029658886894076</v>
      </c>
      <c r="O64" s="60">
        <f t="shared" si="40"/>
        <v>1.1329799820169419</v>
      </c>
      <c r="P64" s="60">
        <f t="shared" si="40"/>
        <v>0.94811183581903535</v>
      </c>
      <c r="Q64" s="60">
        <f t="shared" si="40"/>
        <v>1.1222906869898925</v>
      </c>
      <c r="R64" s="60">
        <f t="shared" si="40"/>
        <v>1.1837375827366186</v>
      </c>
      <c r="S64" s="60">
        <f t="shared" si="40"/>
        <v>0.77121766452023299</v>
      </c>
      <c r="T64" s="266">
        <f>AVERAGE(M64:S64)</f>
        <v>1.0716895394172088</v>
      </c>
      <c r="U64" s="60"/>
    </row>
    <row r="65" spans="2:20">
      <c r="B65" s="17" t="s">
        <v>11</v>
      </c>
      <c r="C65" s="65">
        <f t="shared" ref="C65:I65" si="41">C9/(C3+C5)</f>
        <v>0.30235952323035759</v>
      </c>
      <c r="D65" s="65">
        <f t="shared" si="41"/>
        <v>0.32244647969575685</v>
      </c>
      <c r="E65" s="65">
        <f t="shared" si="41"/>
        <v>0.33383657293829022</v>
      </c>
      <c r="F65" s="65">
        <f t="shared" si="41"/>
        <v>0.29564448619303507</v>
      </c>
      <c r="G65" s="65">
        <f t="shared" si="41"/>
        <v>0.30352318094444369</v>
      </c>
      <c r="H65" s="65">
        <f t="shared" si="41"/>
        <v>0.30134892183143319</v>
      </c>
      <c r="I65" s="65">
        <f t="shared" si="41"/>
        <v>0.2483743691986377</v>
      </c>
      <c r="J65" s="326">
        <f>AVERAGE(E65:I65)</f>
        <v>0.29654550622116799</v>
      </c>
      <c r="K65" s="60"/>
      <c r="L65" s="17" t="s">
        <v>12</v>
      </c>
      <c r="M65" s="60">
        <f t="shared" ref="M65:S65" si="42">C30/C3</f>
        <v>4.1188499572701744E-2</v>
      </c>
      <c r="N65" s="60">
        <f t="shared" si="42"/>
        <v>3.4039497307001794E-2</v>
      </c>
      <c r="O65" s="60">
        <f t="shared" si="42"/>
        <v>3.2243307620715221E-2</v>
      </c>
      <c r="P65" s="60">
        <f t="shared" si="42"/>
        <v>2.3998449032722639E-2</v>
      </c>
      <c r="Q65" s="60">
        <f t="shared" si="42"/>
        <v>2.107994162477704E-2</v>
      </c>
      <c r="R65" s="60">
        <f t="shared" si="42"/>
        <v>1.5036127872084583E-2</v>
      </c>
      <c r="S65" s="60">
        <f t="shared" si="42"/>
        <v>1.7651707904341826E-2</v>
      </c>
      <c r="T65" s="266">
        <f>AVERAGE(M65:S65)</f>
        <v>2.6462504419192123E-2</v>
      </c>
    </row>
    <row r="66" spans="2:20">
      <c r="B66" s="17" t="s">
        <v>13</v>
      </c>
      <c r="C66" s="327">
        <f>C10/(C3+C5)</f>
        <v>0.20159328630503526</v>
      </c>
      <c r="D66" s="327">
        <f t="shared" ref="D66:I66" si="43">D10/D3</f>
        <v>0.23352244165170558</v>
      </c>
      <c r="E66" s="327">
        <f t="shared" si="43"/>
        <v>0.25458646853753569</v>
      </c>
      <c r="F66" s="327">
        <f t="shared" si="43"/>
        <v>0.2571697616772603</v>
      </c>
      <c r="G66" s="327">
        <f>G10/G3</f>
        <v>0.19858386033187395</v>
      </c>
      <c r="H66" s="327">
        <f>H10/H3</f>
        <v>0.30752564699764923</v>
      </c>
      <c r="I66" s="327">
        <f t="shared" si="43"/>
        <v>0.35278395431986181</v>
      </c>
      <c r="J66" s="328">
        <f>AVERAGE(C66:G66)</f>
        <v>0.22909116370068214</v>
      </c>
      <c r="K66" s="60"/>
      <c r="L66" s="17" t="s">
        <v>14</v>
      </c>
      <c r="M66" s="60">
        <f t="shared" ref="M66:S66" si="44">C31/C3</f>
        <v>2.2784153339030642E-2</v>
      </c>
      <c r="N66" s="60">
        <f t="shared" si="44"/>
        <v>2.2678635547576303E-2</v>
      </c>
      <c r="O66" s="60">
        <f t="shared" si="44"/>
        <v>2.3740791570047166E-2</v>
      </c>
      <c r="P66" s="60">
        <f t="shared" si="44"/>
        <v>2.2267458767811891E-2</v>
      </c>
      <c r="Q66" s="60">
        <f t="shared" si="44"/>
        <v>1.947192043673315E-2</v>
      </c>
      <c r="R66" s="60">
        <f t="shared" si="44"/>
        <v>2.0192609764816762E-2</v>
      </c>
      <c r="S66" s="60">
        <f t="shared" si="44"/>
        <v>0.11171566204094471</v>
      </c>
      <c r="T66" s="266">
        <f>AVERAGE(M66:S66)</f>
        <v>3.4693033066708664E-2</v>
      </c>
    </row>
    <row r="67" spans="2:20">
      <c r="B67" s="17" t="s">
        <v>15</v>
      </c>
      <c r="C67" s="60">
        <f t="shared" ref="C67:I67" si="45">C13/C35</f>
        <v>6.2485602395761349E-2</v>
      </c>
      <c r="D67" s="60">
        <f t="shared" si="45"/>
        <v>6.8563605417005846E-2</v>
      </c>
      <c r="E67" s="60">
        <f t="shared" si="45"/>
        <v>7.3526883142649296E-2</v>
      </c>
      <c r="F67" s="60">
        <f t="shared" si="45"/>
        <v>7.8012805377703082E-2</v>
      </c>
      <c r="G67" s="60">
        <f t="shared" si="45"/>
        <v>7.0142674863704901E-2</v>
      </c>
      <c r="H67" s="60">
        <f t="shared" si="45"/>
        <v>6.9655539772727273E-2</v>
      </c>
      <c r="I67" s="60">
        <f t="shared" si="45"/>
        <v>9.6078592172485031E-2</v>
      </c>
      <c r="J67" s="266">
        <f t="shared" ref="J67:J69" si="46">AVERAGE(E67:I67)</f>
        <v>7.7483299065853911E-2</v>
      </c>
      <c r="K67" s="60"/>
      <c r="L67" s="17" t="str">
        <f>B33</f>
        <v>Immaterielle eiendeler (O)</v>
      </c>
      <c r="M67" s="60">
        <f>C33/C3</f>
        <v>2.0418752289097789E-2</v>
      </c>
      <c r="N67" s="60">
        <f>D33/D3</f>
        <v>8.9048473967684027E-4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266">
        <v>0</v>
      </c>
    </row>
    <row r="68" spans="2:20">
      <c r="B68" s="17" t="s">
        <v>16</v>
      </c>
      <c r="C68" s="60">
        <f t="shared" ref="C68:I68" si="47">C5/(C3+C5)</f>
        <v>3.7703721722208709E-3</v>
      </c>
      <c r="D68" s="60">
        <f t="shared" si="47"/>
        <v>8.2897716751890831E-3</v>
      </c>
      <c r="E68" s="60">
        <f t="shared" si="47"/>
        <v>3.066616342706171E-3</v>
      </c>
      <c r="F68" s="60">
        <f t="shared" si="47"/>
        <v>2.458869196447072E-3</v>
      </c>
      <c r="G68" s="60">
        <f t="shared" si="47"/>
        <v>5.2289865982014438E-3</v>
      </c>
      <c r="H68" s="60">
        <f t="shared" si="47"/>
        <v>6.2224805951189054E-3</v>
      </c>
      <c r="I68" s="60">
        <f t="shared" si="47"/>
        <v>1.9587174015860114E-2</v>
      </c>
      <c r="J68" s="266">
        <f t="shared" si="46"/>
        <v>7.3128253496667402E-3</v>
      </c>
      <c r="L68" s="17" t="str">
        <f>B34</f>
        <v>Sum finansielle anleggsmidler (F)</v>
      </c>
      <c r="M68" s="60">
        <f>C34/C3</f>
        <v>1.5260651935050665E-5</v>
      </c>
      <c r="N68" s="60">
        <f t="shared" ref="N68:S68" si="48">D34/D3</f>
        <v>3.9210053859964093E-3</v>
      </c>
      <c r="O68" s="60">
        <f t="shared" si="48"/>
        <v>3.6754846749641129E-3</v>
      </c>
      <c r="P68" s="60">
        <f t="shared" si="48"/>
        <v>2.6864968911414844E-3</v>
      </c>
      <c r="Q68" s="60">
        <f t="shared" si="48"/>
        <v>2.0944813793848981E-3</v>
      </c>
      <c r="R68" s="60">
        <f t="shared" si="48"/>
        <v>1.2566216377246481E-3</v>
      </c>
      <c r="S68" s="60">
        <f t="shared" si="48"/>
        <v>5.9463581291519852E-4</v>
      </c>
      <c r="T68" s="266">
        <f>AVERAGE(M68:S68)</f>
        <v>2.0348552048659713E-3</v>
      </c>
    </row>
    <row r="69" spans="2:20">
      <c r="B69" s="17" t="s">
        <v>15</v>
      </c>
      <c r="C69" s="60">
        <f t="shared" ref="C69:I69" si="49">C13/(C35+C5)</f>
        <v>6.2307621629071532E-2</v>
      </c>
      <c r="D69" s="60">
        <f t="shared" si="49"/>
        <v>6.8074944893460693E-2</v>
      </c>
      <c r="E69" s="60">
        <f t="shared" si="49"/>
        <v>7.3337730870712395E-2</v>
      </c>
      <c r="F69" s="60">
        <f t="shared" si="49"/>
        <v>7.7820418681333908E-2</v>
      </c>
      <c r="G69" s="60">
        <f t="shared" si="49"/>
        <v>6.9827596161618488E-2</v>
      </c>
      <c r="H69" s="60">
        <f t="shared" si="49"/>
        <v>6.9299934639368302E-2</v>
      </c>
      <c r="I69" s="60">
        <f t="shared" si="49"/>
        <v>9.3994796069036698E-2</v>
      </c>
      <c r="J69" s="266">
        <f t="shared" si="46"/>
        <v>7.6856095284413964E-2</v>
      </c>
      <c r="L69" s="17" t="str">
        <f>B36</f>
        <v>Sum varelager(O)</v>
      </c>
      <c r="M69" s="60">
        <f t="shared" ref="M69:S69" si="50">C36/C3</f>
        <v>6.1179953607618118E-2</v>
      </c>
      <c r="N69" s="60">
        <f t="shared" si="50"/>
        <v>6.7518850987432669E-2</v>
      </c>
      <c r="O69" s="60">
        <f t="shared" si="50"/>
        <v>6.7310270850093862E-2</v>
      </c>
      <c r="P69" s="60">
        <f t="shared" si="50"/>
        <v>6.3991248113220614E-2</v>
      </c>
      <c r="Q69" s="60">
        <f t="shared" si="50"/>
        <v>7.9265985622398782E-2</v>
      </c>
      <c r="R69" s="60">
        <f t="shared" si="50"/>
        <v>7.2689061975279218E-2</v>
      </c>
      <c r="S69" s="60">
        <f t="shared" si="50"/>
        <v>5.0459113051145872E-2</v>
      </c>
      <c r="T69" s="266">
        <f>AVERAGE(M69:S69)</f>
        <v>6.6059212029598455E-2</v>
      </c>
    </row>
    <row r="70" spans="2:20">
      <c r="B70" s="17" t="s">
        <v>17</v>
      </c>
      <c r="J70" s="18"/>
      <c r="L70" s="17" t="str">
        <f>B37</f>
        <v>Sum fordringer(O)</v>
      </c>
      <c r="M70" s="60">
        <f t="shared" ref="M70:S70" si="51">C37/C3</f>
        <v>4.3035038456842874E-2</v>
      </c>
      <c r="N70" s="60">
        <f t="shared" si="51"/>
        <v>3.3881508078994614E-2</v>
      </c>
      <c r="O70" s="60">
        <f t="shared" si="51"/>
        <v>2.9782468095846545E-2</v>
      </c>
      <c r="P70" s="60">
        <f t="shared" si="51"/>
        <v>2.6089485272734827E-2</v>
      </c>
      <c r="Q70" s="60">
        <f t="shared" si="51"/>
        <v>2.9322739311388575E-2</v>
      </c>
      <c r="R70" s="60">
        <f t="shared" si="51"/>
        <v>0.14052496452210461</v>
      </c>
      <c r="S70" s="60">
        <f t="shared" si="51"/>
        <v>0.15066660247337185</v>
      </c>
      <c r="T70" s="266">
        <f>AVERAGE(M70:S70)</f>
        <v>6.4757543744469112E-2</v>
      </c>
    </row>
    <row r="71" spans="2:20">
      <c r="B71" s="17" t="s">
        <v>18</v>
      </c>
      <c r="J71" s="18"/>
      <c r="L71" s="17" t="str">
        <f>B38</f>
        <v>Operasjonelle kontanter (O)</v>
      </c>
      <c r="M71" s="60">
        <f t="shared" ref="M71:R71" si="52">C38/C3</f>
        <v>0.02</v>
      </c>
      <c r="N71" s="60">
        <f t="shared" si="52"/>
        <v>0.02</v>
      </c>
      <c r="O71" s="60">
        <f t="shared" si="52"/>
        <v>0.02</v>
      </c>
      <c r="P71" s="60">
        <f t="shared" si="52"/>
        <v>0.02</v>
      </c>
      <c r="Q71" s="60">
        <f t="shared" si="52"/>
        <v>0.02</v>
      </c>
      <c r="R71" s="60">
        <f t="shared" si="52"/>
        <v>0.02</v>
      </c>
      <c r="S71" s="60">
        <v>0.02</v>
      </c>
      <c r="T71" s="266">
        <f>AVERAGE(M71:S71)</f>
        <v>0.02</v>
      </c>
    </row>
    <row r="72" spans="2:20">
      <c r="B72" s="17" t="s">
        <v>19</v>
      </c>
      <c r="C72" s="264">
        <f>C52/C6</f>
        <v>0.2130595322925439</v>
      </c>
      <c r="D72" s="264">
        <f t="shared" ref="D72:I72" si="53">D52/D6</f>
        <v>0.24454846443657952</v>
      </c>
      <c r="E72" s="264">
        <f t="shared" si="53"/>
        <v>0.30555349595907172</v>
      </c>
      <c r="F72" s="264">
        <f t="shared" si="53"/>
        <v>0.32113271840667412</v>
      </c>
      <c r="G72" s="264">
        <f t="shared" si="53"/>
        <v>0.31590747525564611</v>
      </c>
      <c r="H72" s="264">
        <f t="shared" si="53"/>
        <v>0.3491230945746599</v>
      </c>
      <c r="I72" s="264">
        <f t="shared" si="53"/>
        <v>0.33436483846548548</v>
      </c>
      <c r="J72" s="326">
        <f>AVERAGE(E72:I72)</f>
        <v>0.32521632453230753</v>
      </c>
      <c r="L72" s="17" t="str">
        <f>B39</f>
        <v>Overskytende kasse/bank/post(F)</v>
      </c>
      <c r="M72" s="60">
        <f>C39/C3</f>
        <v>0.1208100354047125</v>
      </c>
      <c r="N72" s="60">
        <f t="shared" ref="N72:S72" si="54">D39/D3</f>
        <v>0.16924236983842011</v>
      </c>
      <c r="O72" s="60">
        <f t="shared" si="54"/>
        <v>0.25081854463426562</v>
      </c>
      <c r="P72" s="60">
        <f t="shared" si="54"/>
        <v>0.28317255895752846</v>
      </c>
      <c r="Q72" s="60">
        <f t="shared" si="54"/>
        <v>8.5305118642235556E-2</v>
      </c>
      <c r="R72" s="60">
        <f t="shared" si="54"/>
        <v>4.3188569076274767E-2</v>
      </c>
      <c r="S72" s="60">
        <f t="shared" si="54"/>
        <v>0</v>
      </c>
      <c r="T72" s="266">
        <f>AVERAGE(M72:S72)</f>
        <v>0.13607674236477671</v>
      </c>
    </row>
    <row r="73" spans="2:20">
      <c r="B73" s="17" t="s">
        <v>20</v>
      </c>
      <c r="C73" s="60">
        <f t="shared" ref="C73:I73" si="55">C53/(C3+C5)</f>
        <v>9.9428362928727799E-3</v>
      </c>
      <c r="D73" s="60">
        <f t="shared" si="55"/>
        <v>1.3730824561653397E-2</v>
      </c>
      <c r="E73" s="60">
        <f t="shared" si="55"/>
        <v>1.4279423790652324E-2</v>
      </c>
      <c r="F73" s="60">
        <f t="shared" si="55"/>
        <v>1.011175422359133E-2</v>
      </c>
      <c r="G73" s="60">
        <f t="shared" si="55"/>
        <v>1.1049426693371688E-2</v>
      </c>
      <c r="H73" s="60">
        <f t="shared" si="55"/>
        <v>1.2649506400111962E-2</v>
      </c>
      <c r="I73" s="60">
        <f t="shared" si="55"/>
        <v>2.0950075061938129E-3</v>
      </c>
      <c r="J73" s="266">
        <f>AVERAGE(E73:I73)</f>
        <v>1.0037023722784224E-2</v>
      </c>
      <c r="L73" s="17" t="str">
        <f>B40</f>
        <v>Investeringer i aksjer og andeler(F)</v>
      </c>
      <c r="M73" s="60"/>
      <c r="N73" s="60"/>
      <c r="O73" s="60"/>
      <c r="P73" s="60"/>
      <c r="Q73" s="60"/>
      <c r="R73" s="60"/>
      <c r="S73" s="60"/>
      <c r="T73" s="266"/>
    </row>
    <row r="74" spans="2:20">
      <c r="B74" s="17" t="s">
        <v>21</v>
      </c>
      <c r="C74" s="60">
        <f t="shared" ref="C74:I74" si="56">C55/(C3+C5)</f>
        <v>4.2766358550231087E-2</v>
      </c>
      <c r="D74" s="60">
        <f t="shared" si="56"/>
        <v>2.9797598530061104E-2</v>
      </c>
      <c r="E74" s="60">
        <f t="shared" si="56"/>
        <v>2.5932565892935775E-2</v>
      </c>
      <c r="F74" s="60">
        <f t="shared" si="56"/>
        <v>2.9534058101145171E-2</v>
      </c>
      <c r="G74" s="60">
        <f t="shared" si="56"/>
        <v>3.6925517185756727E-2</v>
      </c>
      <c r="H74" s="60">
        <f t="shared" si="56"/>
        <v>8.1925739323278318E-2</v>
      </c>
      <c r="I74" s="60">
        <f t="shared" si="56"/>
        <v>3.4656451798730677E-2</v>
      </c>
      <c r="J74" s="266">
        <f>AVERAGE(E74:I74)</f>
        <v>4.1794866460369333E-2</v>
      </c>
      <c r="L74" s="17" t="str">
        <f>B46</f>
        <v>Innskutt EK</v>
      </c>
      <c r="M74" s="60"/>
      <c r="N74" s="60"/>
      <c r="O74" s="60"/>
      <c r="P74" s="60"/>
      <c r="Q74" s="60"/>
      <c r="R74" s="60"/>
      <c r="S74" s="60"/>
      <c r="T74" s="266"/>
    </row>
    <row r="75" spans="2:20">
      <c r="B75" s="17" t="s">
        <v>22</v>
      </c>
      <c r="C75" s="60">
        <v>0</v>
      </c>
      <c r="D75" s="60">
        <v>0</v>
      </c>
      <c r="E75" s="60">
        <v>0</v>
      </c>
      <c r="F75" s="60">
        <f>F56/(F3+F5)</f>
        <v>2.0900388169800114E-2</v>
      </c>
      <c r="G75" s="60">
        <f>G56/(G3+G5)</f>
        <v>3.4331187074052666E-2</v>
      </c>
      <c r="H75" s="60">
        <f>H56/(H3+H5)</f>
        <v>4.812195200723444E-3</v>
      </c>
      <c r="I75" s="60">
        <f>I56/(I3+I5)</f>
        <v>2.7698040648334348E-2</v>
      </c>
      <c r="J75" s="266">
        <f>AVERAGE(E75:I75)</f>
        <v>1.7548362218582116E-2</v>
      </c>
      <c r="L75" s="19" t="str">
        <f>B47</f>
        <v>Opptjent EK</v>
      </c>
      <c r="M75" s="20"/>
      <c r="N75" s="20"/>
      <c r="O75" s="20"/>
      <c r="P75" s="20"/>
      <c r="Q75" s="20"/>
      <c r="R75" s="20"/>
      <c r="S75" s="20"/>
      <c r="T75" s="268"/>
    </row>
    <row r="76" spans="2:20">
      <c r="B76" s="297" t="s">
        <v>23</v>
      </c>
      <c r="C76" s="97">
        <f>C8</f>
        <v>0.76530953539284841</v>
      </c>
      <c r="D76" s="97">
        <f t="shared" ref="D76:I76" si="57">D8</f>
        <v>0.75048072129559729</v>
      </c>
      <c r="E76" s="97">
        <f t="shared" si="57"/>
        <v>0.78790023274831733</v>
      </c>
      <c r="F76" s="97">
        <f t="shared" si="57"/>
        <v>0.76487408655772127</v>
      </c>
      <c r="G76" s="97">
        <f t="shared" si="57"/>
        <v>0.75418386138480775</v>
      </c>
      <c r="H76" s="97">
        <f t="shared" si="57"/>
        <v>0.73727782622269589</v>
      </c>
      <c r="I76" s="97">
        <f t="shared" si="57"/>
        <v>0.75359030052724696</v>
      </c>
      <c r="J76" s="329">
        <f>AVERAGE(C76:I76)</f>
        <v>0.75908808058989063</v>
      </c>
    </row>
    <row r="77" spans="2:20">
      <c r="B77" s="19" t="s">
        <v>24</v>
      </c>
      <c r="C77" s="267">
        <f t="shared" ref="C77:I77" si="58">C47/C3</f>
        <v>-6.5941277011353924E-2</v>
      </c>
      <c r="D77" s="267">
        <f t="shared" si="58"/>
        <v>-4.179533213644524E-3</v>
      </c>
      <c r="E77" s="267">
        <f t="shared" si="58"/>
        <v>2.725853012162226E-2</v>
      </c>
      <c r="F77" s="267">
        <f t="shared" si="58"/>
        <v>6.4545164997992052E-2</v>
      </c>
      <c r="G77" s="267">
        <f t="shared" si="58"/>
        <v>8.6630452407977954E-2</v>
      </c>
      <c r="H77" s="267">
        <f t="shared" si="58"/>
        <v>9.2524184550053623E-2</v>
      </c>
      <c r="I77" s="267">
        <f t="shared" si="58"/>
        <v>0.15311490261425614</v>
      </c>
      <c r="J77" s="330">
        <f>AVERAGE(C77:I77)</f>
        <v>5.0564632066700511E-2</v>
      </c>
    </row>
    <row r="82" spans="2:18">
      <c r="J82">
        <v>1</v>
      </c>
      <c r="K82">
        <v>2</v>
      </c>
      <c r="L82">
        <v>3</v>
      </c>
      <c r="M82">
        <v>4</v>
      </c>
      <c r="N82">
        <v>5</v>
      </c>
    </row>
    <row r="83" spans="2:18">
      <c r="B83" s="261" t="s">
        <v>25</v>
      </c>
      <c r="C83" s="36">
        <v>2017</v>
      </c>
      <c r="D83" s="36">
        <v>2018</v>
      </c>
      <c r="E83" s="36">
        <v>2019</v>
      </c>
      <c r="F83" s="36">
        <v>2020</v>
      </c>
      <c r="G83" s="36">
        <v>2021</v>
      </c>
      <c r="H83" s="36">
        <v>2022</v>
      </c>
      <c r="I83" s="248">
        <v>2023</v>
      </c>
      <c r="J83" s="248">
        <v>2024</v>
      </c>
      <c r="K83" s="248">
        <v>2025</v>
      </c>
      <c r="L83" s="248">
        <v>2026</v>
      </c>
      <c r="M83" s="248">
        <v>2027</v>
      </c>
      <c r="N83" s="249" t="s">
        <v>3</v>
      </c>
    </row>
    <row r="84" spans="2:18">
      <c r="B84" s="17" t="s">
        <v>26</v>
      </c>
      <c r="C84">
        <f t="shared" ref="C84:H84" si="59">C35-C34</f>
        <v>86819</v>
      </c>
      <c r="D84">
        <f t="shared" si="59"/>
        <v>80805</v>
      </c>
      <c r="E84">
        <f t="shared" si="59"/>
        <v>75372</v>
      </c>
      <c r="F84">
        <f t="shared" si="59"/>
        <v>71807</v>
      </c>
      <c r="G84">
        <f t="shared" si="59"/>
        <v>86055</v>
      </c>
      <c r="H84">
        <f t="shared" si="59"/>
        <v>112524</v>
      </c>
      <c r="I84" s="22">
        <f t="shared" ref="I84:N84" si="60">H87</f>
        <v>114011.19699999999</v>
      </c>
      <c r="J84" s="22">
        <f t="shared" si="60"/>
        <v>109799.35010701897</v>
      </c>
      <c r="K84" s="22">
        <f t="shared" si="60"/>
        <v>106134.65650222155</v>
      </c>
      <c r="L84" s="22">
        <f t="shared" si="60"/>
        <v>102967.57381715081</v>
      </c>
      <c r="M84" s="22">
        <f t="shared" si="60"/>
        <v>100252.44088616184</v>
      </c>
      <c r="N84" s="250">
        <f t="shared" si="60"/>
        <v>97948.100770857127</v>
      </c>
    </row>
    <row r="85" spans="2:18">
      <c r="B85" s="17" t="s">
        <v>27</v>
      </c>
      <c r="C85" s="22">
        <f t="shared" ref="C85:H85" si="61">D13</f>
        <v>5559</v>
      </c>
      <c r="D85" s="22">
        <f t="shared" si="61"/>
        <v>5559</v>
      </c>
      <c r="E85" s="22">
        <f t="shared" si="61"/>
        <v>5617</v>
      </c>
      <c r="F85" s="22">
        <f t="shared" si="61"/>
        <v>6047</v>
      </c>
      <c r="G85" s="22">
        <f t="shared" si="61"/>
        <v>7846</v>
      </c>
      <c r="H85" s="22">
        <f t="shared" si="61"/>
        <v>10961.268</v>
      </c>
      <c r="I85" s="22">
        <f>I84*$C$96</f>
        <v>11106.139892981015</v>
      </c>
      <c r="J85" s="22">
        <f>J84*$C$96</f>
        <v>10695.852464797408</v>
      </c>
      <c r="K85" s="22">
        <f>K84*$C$96</f>
        <v>10338.864722270742</v>
      </c>
      <c r="L85" s="22">
        <f>L84*$C$96</f>
        <v>10030.350608932966</v>
      </c>
      <c r="M85" s="22">
        <f>M84*$C$96</f>
        <v>9765.8621468075908</v>
      </c>
      <c r="N85" s="250">
        <f>N84*C96</f>
        <v>9541.3901269095622</v>
      </c>
    </row>
    <row r="86" spans="2:18">
      <c r="B86" s="17" t="s">
        <v>28</v>
      </c>
      <c r="C86" s="22">
        <f>C87-C84+C85</f>
        <v>-455</v>
      </c>
      <c r="D86" s="22">
        <f t="shared" ref="D86:H86" si="62">D87-D84+D85</f>
        <v>126</v>
      </c>
      <c r="E86" s="22">
        <f t="shared" si="62"/>
        <v>2052</v>
      </c>
      <c r="F86" s="22">
        <f t="shared" si="62"/>
        <v>20295</v>
      </c>
      <c r="G86" s="22">
        <f t="shared" si="62"/>
        <v>34315</v>
      </c>
      <c r="H86" s="22">
        <f t="shared" si="62"/>
        <v>12448.464999999986</v>
      </c>
      <c r="I86" s="22">
        <f>$H$94*1+$C$95^I82</f>
        <v>6894.292999999996</v>
      </c>
      <c r="J86" s="22">
        <f>$H$94*(1+$C$95)^J82</f>
        <v>7031.1588599999959</v>
      </c>
      <c r="K86" s="22">
        <f>$H$94*(1+$C$95)^K82</f>
        <v>7171.782037199996</v>
      </c>
      <c r="L86" s="22">
        <f>$H$94*(1+$C$95)^L82</f>
        <v>7315.2176779439951</v>
      </c>
      <c r="M86" s="22">
        <f>$H$94*(1+$C$95)^M82</f>
        <v>7461.5220315028755</v>
      </c>
      <c r="N86" s="22">
        <f>$H$94*(1+$C$95)^N82</f>
        <v>7610.7524721329337</v>
      </c>
    </row>
    <row r="87" spans="2:18">
      <c r="B87" s="19" t="s">
        <v>29</v>
      </c>
      <c r="C87" s="20">
        <f t="shared" ref="C87:H87" si="63">D35-D34</f>
        <v>80805</v>
      </c>
      <c r="D87" s="20">
        <f t="shared" si="63"/>
        <v>75372</v>
      </c>
      <c r="E87" s="20">
        <f t="shared" si="63"/>
        <v>71807</v>
      </c>
      <c r="F87" s="20">
        <f t="shared" si="63"/>
        <v>86055</v>
      </c>
      <c r="G87" s="20">
        <f t="shared" si="63"/>
        <v>112524</v>
      </c>
      <c r="H87" s="251">
        <f t="shared" si="63"/>
        <v>114011.19699999999</v>
      </c>
      <c r="I87" s="251">
        <f t="shared" ref="I87:N87" si="64">I84-I85+I86</f>
        <v>109799.35010701897</v>
      </c>
      <c r="J87" s="251">
        <f t="shared" si="64"/>
        <v>106134.65650222155</v>
      </c>
      <c r="K87" s="251">
        <f t="shared" si="64"/>
        <v>102967.57381715081</v>
      </c>
      <c r="L87" s="251">
        <f t="shared" si="64"/>
        <v>100252.44088616184</v>
      </c>
      <c r="M87" s="251">
        <f t="shared" si="64"/>
        <v>97948.100770857127</v>
      </c>
      <c r="N87" s="251">
        <f t="shared" si="64"/>
        <v>96017.4631160805</v>
      </c>
    </row>
    <row r="88" spans="2:18">
      <c r="C88" s="22"/>
      <c r="D88" s="22"/>
      <c r="E88" s="22"/>
      <c r="F88" s="22"/>
      <c r="G88" s="22"/>
      <c r="H88" s="22"/>
    </row>
    <row r="89" spans="2:18">
      <c r="F89" s="22"/>
      <c r="Q89" s="22"/>
      <c r="R89" s="22"/>
    </row>
    <row r="90" spans="2:18">
      <c r="B90" s="261" t="s">
        <v>30</v>
      </c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3"/>
      <c r="Q90" s="22"/>
      <c r="R90" s="22"/>
    </row>
    <row r="91" spans="2:18">
      <c r="B91" s="17" t="s">
        <v>31</v>
      </c>
      <c r="C91" s="264">
        <f t="shared" ref="C91:M91" si="65">(D35-D34)/D3</f>
        <v>1.1605745062836625</v>
      </c>
      <c r="D91" s="264">
        <f t="shared" si="65"/>
        <v>1.1889640812077042</v>
      </c>
      <c r="E91" s="264">
        <f t="shared" si="65"/>
        <v>0.99437774361956988</v>
      </c>
      <c r="F91" s="264">
        <f t="shared" si="65"/>
        <v>1.1628425490514027</v>
      </c>
      <c r="G91" s="264">
        <f t="shared" si="65"/>
        <v>1.2189663203735199</v>
      </c>
      <c r="H91" s="264">
        <f t="shared" si="65"/>
        <v>0.90058503446551941</v>
      </c>
      <c r="I91" s="264">
        <f>(J35-J34)/J3</f>
        <v>0.9093958309803698</v>
      </c>
      <c r="J91" s="264">
        <f t="shared" si="65"/>
        <v>0.90939583098036991</v>
      </c>
      <c r="K91" s="264">
        <f t="shared" si="65"/>
        <v>0.9093958309803698</v>
      </c>
      <c r="L91" s="264">
        <f t="shared" si="65"/>
        <v>0.9093958309803698</v>
      </c>
      <c r="M91" s="265">
        <f t="shared" si="65"/>
        <v>0.90939583098036991</v>
      </c>
      <c r="Q91" s="22"/>
    </row>
    <row r="92" spans="2:18">
      <c r="B92" s="17" t="s">
        <v>32</v>
      </c>
      <c r="C92" s="60">
        <f>C85/C84</f>
        <v>6.4029763070295675E-2</v>
      </c>
      <c r="D92" s="60">
        <f t="shared" ref="D92:G92" si="66">D85/D84</f>
        <v>6.8795247818823096E-2</v>
      </c>
      <c r="E92" s="60">
        <f>E85/E84</f>
        <v>7.4523695802154649E-2</v>
      </c>
      <c r="F92" s="60">
        <f t="shared" si="66"/>
        <v>8.4211845641789795E-2</v>
      </c>
      <c r="G92" s="60">
        <f t="shared" si="66"/>
        <v>9.1174249026785198E-2</v>
      </c>
      <c r="H92" s="60">
        <f>H85/H84</f>
        <v>9.7412711954782974E-2</v>
      </c>
      <c r="I92" s="60">
        <f>I85/I84</f>
        <v>9.7412711954782974E-2</v>
      </c>
      <c r="J92" s="60">
        <f t="shared" ref="J92:M92" si="67">J85/J84</f>
        <v>9.7412711954782974E-2</v>
      </c>
      <c r="K92" s="60">
        <f t="shared" si="67"/>
        <v>9.7412711954782974E-2</v>
      </c>
      <c r="L92" s="60">
        <f t="shared" si="67"/>
        <v>9.7412711954782974E-2</v>
      </c>
      <c r="M92" s="266">
        <f t="shared" si="67"/>
        <v>9.7412711954782974E-2</v>
      </c>
    </row>
    <row r="93" spans="2:18">
      <c r="B93" s="17"/>
      <c r="C93">
        <v>2017</v>
      </c>
      <c r="D93">
        <v>2018</v>
      </c>
      <c r="E93">
        <v>2019</v>
      </c>
      <c r="F93">
        <v>2020</v>
      </c>
      <c r="G93">
        <v>2022</v>
      </c>
      <c r="M93" s="18"/>
    </row>
    <row r="94" spans="2:18">
      <c r="B94" s="296" t="s">
        <v>33</v>
      </c>
      <c r="C94" s="294">
        <f>C86</f>
        <v>-455</v>
      </c>
      <c r="D94" s="294">
        <f>D86</f>
        <v>126</v>
      </c>
      <c r="E94" s="294">
        <f>E86</f>
        <v>2052</v>
      </c>
      <c r="F94" s="294">
        <f>F86</f>
        <v>20295</v>
      </c>
      <c r="G94" s="294">
        <f>H86</f>
        <v>12448.464999999986</v>
      </c>
      <c r="H94" s="295">
        <f>AVERAGE(C94:G94)</f>
        <v>6893.292999999996</v>
      </c>
      <c r="M94" s="18"/>
    </row>
    <row r="95" spans="2:18">
      <c r="B95" s="297" t="s">
        <v>34</v>
      </c>
      <c r="C95" s="264">
        <f>2%</f>
        <v>0.02</v>
      </c>
      <c r="H95" s="18"/>
      <c r="M95" s="18"/>
    </row>
    <row r="96" spans="2:18">
      <c r="B96" s="298" t="s">
        <v>35</v>
      </c>
      <c r="C96" s="267">
        <f>H92</f>
        <v>9.7412711954782974E-2</v>
      </c>
      <c r="D96" s="20"/>
      <c r="E96" s="20"/>
      <c r="F96" s="20"/>
      <c r="G96" s="20"/>
      <c r="H96" s="268"/>
      <c r="I96" s="20"/>
      <c r="J96" s="20"/>
      <c r="K96" s="20"/>
      <c r="L96" s="20"/>
      <c r="M96" s="268"/>
    </row>
    <row r="97" spans="2:17">
      <c r="D97" s="60"/>
    </row>
    <row r="98" spans="2:17">
      <c r="B98" s="514" t="s">
        <v>476</v>
      </c>
      <c r="C98" s="515"/>
      <c r="D98" s="515"/>
      <c r="E98" s="515"/>
      <c r="F98" s="515"/>
      <c r="G98" s="515"/>
      <c r="H98" s="515"/>
      <c r="I98" s="516"/>
      <c r="J98" s="240"/>
      <c r="K98" s="240"/>
      <c r="L98" s="240"/>
      <c r="M98" s="240"/>
      <c r="N98" s="240"/>
      <c r="O98" s="85"/>
      <c r="P98" s="85"/>
      <c r="Q98" s="85"/>
    </row>
    <row r="99" spans="2:17">
      <c r="B99" s="297" t="s">
        <v>36</v>
      </c>
      <c r="C99" s="468">
        <v>2016</v>
      </c>
      <c r="D99" s="468">
        <v>2017</v>
      </c>
      <c r="E99" s="468">
        <v>2018</v>
      </c>
      <c r="F99" s="468">
        <v>2019</v>
      </c>
      <c r="G99" s="468">
        <v>2020</v>
      </c>
      <c r="H99" s="468">
        <v>2021</v>
      </c>
      <c r="I99" s="18">
        <v>2022</v>
      </c>
      <c r="J99" s="76">
        <v>2023</v>
      </c>
      <c r="K99" s="76">
        <v>2024</v>
      </c>
      <c r="L99" s="76">
        <v>2025</v>
      </c>
      <c r="M99" s="76">
        <v>2026</v>
      </c>
      <c r="N99" s="76">
        <v>2027</v>
      </c>
      <c r="O99" s="76" t="s">
        <v>3</v>
      </c>
    </row>
    <row r="100" spans="2:17">
      <c r="B100" s="17" t="s">
        <v>37</v>
      </c>
      <c r="C100" s="471">
        <f>'Reformulering '!C49</f>
        <v>4009</v>
      </c>
      <c r="D100" s="471">
        <f>'Reformulering '!D49</f>
        <v>4701</v>
      </c>
      <c r="E100" s="471">
        <f>'Reformulering '!E49</f>
        <v>4267</v>
      </c>
      <c r="F100" s="471">
        <f>'Reformulering '!F49</f>
        <v>4621</v>
      </c>
      <c r="G100" s="471">
        <f>'Reformulering '!G49</f>
        <v>5866</v>
      </c>
      <c r="H100" s="471">
        <f>'Reformulering '!H49</f>
        <v>6710</v>
      </c>
      <c r="I100" s="250">
        <f>I36</f>
        <v>6387.9629999999997</v>
      </c>
      <c r="J100" s="22">
        <f t="shared" ref="J100:O100" si="68">J117</f>
        <v>7553.9214757858817</v>
      </c>
      <c r="K100" s="22">
        <f t="shared" si="68"/>
        <v>7931.617549575175</v>
      </c>
      <c r="L100" s="22">
        <f t="shared" si="68"/>
        <v>8328.1984270539342</v>
      </c>
      <c r="M100" s="22">
        <f t="shared" si="68"/>
        <v>8744.6083484066312</v>
      </c>
      <c r="N100" s="22">
        <f t="shared" si="68"/>
        <v>9181.8387658269621</v>
      </c>
      <c r="O100" s="22">
        <f t="shared" si="68"/>
        <v>9365.4755411435035</v>
      </c>
    </row>
    <row r="101" spans="2:17">
      <c r="B101" s="17" t="s">
        <v>38</v>
      </c>
      <c r="C101" s="468">
        <f>'Reformulering '!C50</f>
        <v>2820</v>
      </c>
      <c r="D101" s="468">
        <f>'Reformulering '!D50</f>
        <v>2359</v>
      </c>
      <c r="E101" s="468">
        <f>'Reformulering '!E50</f>
        <v>1888</v>
      </c>
      <c r="F101" s="468">
        <f>'Reformulering '!F50</f>
        <v>1884</v>
      </c>
      <c r="G101" s="468">
        <f>'Reformulering '!G50</f>
        <v>2170</v>
      </c>
      <c r="H101" s="468">
        <f>'Reformulering '!H50</f>
        <v>12972</v>
      </c>
      <c r="I101" s="250">
        <f>'Reformulering '!I50</f>
        <v>19073.912</v>
      </c>
      <c r="J101" s="22">
        <f>(J3+J5)/365*Likviditetsanalyse!$X$16</f>
        <v>8544.6951771282784</v>
      </c>
      <c r="K101" s="22">
        <f>(K3+K5)/365*Likviditetsanalyse!$X$16</f>
        <v>8971.9299359846918</v>
      </c>
      <c r="L101" s="22">
        <f>(L3+L5)/365*Likviditetsanalyse!$X$16</f>
        <v>9420.5264327839286</v>
      </c>
      <c r="M101" s="22">
        <f>(M3+M5)/365*Likviditetsanalyse!$X$16</f>
        <v>9891.5527544231245</v>
      </c>
      <c r="N101" s="22">
        <f>(N3+N5)/365*Likviditetsanalyse!$X$16</f>
        <v>10386.13039214428</v>
      </c>
      <c r="O101" s="22">
        <f>(O3+O5)/365*Likviditetsanalyse!$X$16</f>
        <v>10593.852999987166</v>
      </c>
    </row>
    <row r="102" spans="2:17">
      <c r="B102" s="17" t="s">
        <v>39</v>
      </c>
      <c r="C102" s="471">
        <f>'Reformulering '!C48</f>
        <v>1310.56</v>
      </c>
      <c r="D102" s="471">
        <f>'Reformulering '!D48</f>
        <v>1392.5</v>
      </c>
      <c r="E102" s="471">
        <f>'Reformulering '!E48</f>
        <v>1267.8600000000001</v>
      </c>
      <c r="F102" s="471">
        <f>'Reformulering '!F48</f>
        <v>1444.26</v>
      </c>
      <c r="G102" s="471">
        <f>'Reformulering '!G48</f>
        <v>1480.08</v>
      </c>
      <c r="H102" s="471">
        <f>'Reformulering '!H48</f>
        <v>1846.22</v>
      </c>
      <c r="I102" s="250">
        <f>'Reformulering '!I48</f>
        <v>2531.9363000000003</v>
      </c>
      <c r="J102" s="22">
        <f t="shared" ref="J102:N102" si="69">(J3+J5)*0.02</f>
        <v>2295.4067171625434</v>
      </c>
      <c r="K102" s="22">
        <f t="shared" si="69"/>
        <v>2410.1770530206709</v>
      </c>
      <c r="L102" s="22">
        <f t="shared" si="69"/>
        <v>2530.6859056717044</v>
      </c>
      <c r="M102" s="22">
        <f t="shared" si="69"/>
        <v>2657.2202009552898</v>
      </c>
      <c r="N102" s="22">
        <f t="shared" si="69"/>
        <v>2790.0812110030542</v>
      </c>
      <c r="O102" s="22">
        <f>(O3+O5)*0.02</f>
        <v>2845.8828352231153</v>
      </c>
    </row>
    <row r="103" spans="2:17" ht="15" thickBot="1">
      <c r="B103" s="15" t="s">
        <v>40</v>
      </c>
      <c r="C103" s="23">
        <f t="shared" ref="C103:I103" si="70">SUM(C100:C102)</f>
        <v>8139.5599999999995</v>
      </c>
      <c r="D103" s="23">
        <f t="shared" si="70"/>
        <v>8452.5</v>
      </c>
      <c r="E103" s="23">
        <f t="shared" si="70"/>
        <v>7422.8600000000006</v>
      </c>
      <c r="F103" s="23">
        <f t="shared" si="70"/>
        <v>7949.26</v>
      </c>
      <c r="G103" s="23">
        <f t="shared" si="70"/>
        <v>9516.08</v>
      </c>
      <c r="H103" s="23">
        <f t="shared" si="70"/>
        <v>21528.22</v>
      </c>
      <c r="I103" s="527">
        <f t="shared" si="70"/>
        <v>27993.811300000001</v>
      </c>
      <c r="J103" s="23">
        <f>SUM(J100:J102)</f>
        <v>18394.023370076702</v>
      </c>
      <c r="K103" s="23">
        <f t="shared" ref="K103:N103" si="71">SUM(K100:K102)</f>
        <v>19313.724538580536</v>
      </c>
      <c r="L103" s="23">
        <f t="shared" si="71"/>
        <v>20279.410765509569</v>
      </c>
      <c r="M103" s="23">
        <f t="shared" si="71"/>
        <v>21293.381303785045</v>
      </c>
      <c r="N103" s="23">
        <f t="shared" si="71"/>
        <v>22358.050368974295</v>
      </c>
      <c r="O103" s="23">
        <f>SUM(O100:O102)</f>
        <v>22805.211376353785</v>
      </c>
    </row>
    <row r="104" spans="2:17">
      <c r="B104" s="534" t="s">
        <v>477</v>
      </c>
      <c r="C104" s="468">
        <f>-'Reformulering '!C52</f>
        <v>-3289</v>
      </c>
      <c r="D104" s="468">
        <f>-'Reformulering '!D52</f>
        <v>-4284</v>
      </c>
      <c r="E104" s="468">
        <f>-'Reformulering '!E52</f>
        <v>-4121</v>
      </c>
      <c r="F104" s="468">
        <f>-'Reformulering '!F52</f>
        <v>-5466</v>
      </c>
      <c r="G104" s="468">
        <f>-'Reformulering '!G52</f>
        <v>-5777</v>
      </c>
      <c r="H104" s="468">
        <f>-'Reformulering '!H52</f>
        <v>-8520</v>
      </c>
      <c r="I104" s="250">
        <f>-'Reformulering '!I52</f>
        <v>-10638.789000000001</v>
      </c>
      <c r="J104" s="22">
        <f>-J121/365*Likviditetsanalyse!$X$25</f>
        <v>-8488.6445180077772</v>
      </c>
      <c r="K104" s="22">
        <f>-K121/365*Likviditetsanalyse!$X$25</f>
        <v>-8663.6918790194577</v>
      </c>
      <c r="L104" s="22">
        <f>-L121/365*Likviditetsanalyse!$X$25</f>
        <v>-9096.8764729704308</v>
      </c>
      <c r="M104" s="22">
        <f>-M121/365*Likviditetsanalyse!$X$25</f>
        <v>-9551.7202966189507</v>
      </c>
      <c r="N104" s="22">
        <f>-N121/365*Likviditetsanalyse!$X$25</f>
        <v>-10029.306311449898</v>
      </c>
      <c r="O104" s="22">
        <f>-O121/365*Likviditetsanalyse!$X$25</f>
        <v>-10152.61124796164</v>
      </c>
    </row>
    <row r="105" spans="2:17">
      <c r="B105" s="533" t="s">
        <v>473</v>
      </c>
      <c r="C105" s="468">
        <f>-'Reformulering '!C53</f>
        <v>-654</v>
      </c>
      <c r="D105" s="468">
        <f>-'Reformulering '!D53</f>
        <v>-964</v>
      </c>
      <c r="E105" s="468">
        <f>-'Reformulering '!E53</f>
        <v>-908</v>
      </c>
      <c r="F105" s="468">
        <f>-'Reformulering '!F53</f>
        <v>-732</v>
      </c>
      <c r="G105" s="468">
        <f>-'Reformulering '!G53</f>
        <v>-822</v>
      </c>
      <c r="H105" s="468">
        <f>-'Reformulering '!H53</f>
        <v>-1175</v>
      </c>
      <c r="I105" s="250">
        <f>-'Reformulering '!I53</f>
        <v>-270.52</v>
      </c>
      <c r="J105" s="22">
        <f t="shared" ref="J105:O105" si="72">-J53</f>
        <v>-1143.5897118455332</v>
      </c>
      <c r="K105" s="22">
        <f t="shared" si="72"/>
        <v>-1200.7691974378099</v>
      </c>
      <c r="L105" s="22">
        <f t="shared" si="72"/>
        <v>-1260.8076573097005</v>
      </c>
      <c r="M105" s="22">
        <f t="shared" si="72"/>
        <v>-1323.8480401751856</v>
      </c>
      <c r="N105" s="22">
        <f t="shared" si="72"/>
        <v>-1390.0404421839448</v>
      </c>
      <c r="O105" s="22">
        <f t="shared" si="72"/>
        <v>-1417.8412510276237</v>
      </c>
    </row>
    <row r="106" spans="2:17">
      <c r="B106" s="533" t="s">
        <v>474</v>
      </c>
      <c r="C106" s="468">
        <f>-'Reformulering '!C54</f>
        <v>0</v>
      </c>
      <c r="D106" s="468">
        <f>-'Reformulering '!D54</f>
        <v>0</v>
      </c>
      <c r="E106" s="468">
        <f>-'Reformulering '!E54</f>
        <v>0</v>
      </c>
      <c r="F106" s="468">
        <f>-'Reformulering '!F54</f>
        <v>-1513</v>
      </c>
      <c r="G106" s="468">
        <f>-'Reformulering '!G54</f>
        <v>-2554</v>
      </c>
      <c r="H106" s="468">
        <f>-'Reformulering '!H54</f>
        <v>-447</v>
      </c>
      <c r="I106" s="250">
        <f>-'Reformulering '!I54</f>
        <v>-3576.538</v>
      </c>
      <c r="J106" s="22">
        <f>-J56</f>
        <v>-2014.031425586739</v>
      </c>
      <c r="K106" s="22">
        <f t="shared" ref="K106:O106" si="73">-K56</f>
        <v>-2114.7329968660761</v>
      </c>
      <c r="L106" s="22">
        <f t="shared" si="73"/>
        <v>-2220.46964670938</v>
      </c>
      <c r="M106" s="22">
        <f t="shared" si="73"/>
        <v>-2331.4931290448494</v>
      </c>
      <c r="N106" s="22">
        <f t="shared" si="73"/>
        <v>-2448.0677854970913</v>
      </c>
      <c r="O106" s="22">
        <f t="shared" si="73"/>
        <v>-2497.0291412070337</v>
      </c>
    </row>
    <row r="107" spans="2:17">
      <c r="B107" s="533" t="s">
        <v>475</v>
      </c>
      <c r="C107" s="468">
        <f>-'Reformulering '!C55</f>
        <v>-2813</v>
      </c>
      <c r="D107" s="468">
        <f>-'Reformulering '!D55</f>
        <v>-2092</v>
      </c>
      <c r="E107" s="468">
        <f>-'Reformulering '!E55</f>
        <v>-1649</v>
      </c>
      <c r="F107" s="468">
        <f>-'Reformulering '!F55</f>
        <v>-2138</v>
      </c>
      <c r="G107" s="468">
        <f>-'Reformulering '!G55</f>
        <v>-2747</v>
      </c>
      <c r="H107" s="468">
        <f>-'Reformulering '!H55</f>
        <v>-7610</v>
      </c>
      <c r="I107" s="250">
        <f>-'Reformulering '!I55</f>
        <v>-4475.05</v>
      </c>
      <c r="J107" s="22">
        <f>-$J$74*(J3+J5)</f>
        <v>-4796.810860802163</v>
      </c>
      <c r="K107" s="22">
        <f t="shared" ref="K107:O107" si="74">-$J$74*(K3+K5)</f>
        <v>-5036.6514038422711</v>
      </c>
      <c r="L107" s="22">
        <f t="shared" si="74"/>
        <v>-5288.483974034385</v>
      </c>
      <c r="M107" s="22">
        <f t="shared" si="74"/>
        <v>-5552.9081727361054</v>
      </c>
      <c r="N107" s="22">
        <f t="shared" si="74"/>
        <v>-5830.5535813729093</v>
      </c>
      <c r="O107" s="22">
        <f t="shared" si="74"/>
        <v>-5947.1646530003682</v>
      </c>
    </row>
    <row r="108" spans="2:17" ht="15" thickBot="1">
      <c r="B108" s="15" t="s">
        <v>44</v>
      </c>
      <c r="C108" s="5">
        <f>SUM(C104:C107)</f>
        <v>-6756</v>
      </c>
      <c r="D108" s="5">
        <f t="shared" ref="D108:I108" si="75">SUM(D104:D107)</f>
        <v>-7340</v>
      </c>
      <c r="E108" s="5">
        <f t="shared" si="75"/>
        <v>-6678</v>
      </c>
      <c r="F108" s="5">
        <f t="shared" si="75"/>
        <v>-9849</v>
      </c>
      <c r="G108" s="5">
        <f t="shared" si="75"/>
        <v>-11900</v>
      </c>
      <c r="H108" s="5">
        <f t="shared" si="75"/>
        <v>-17752</v>
      </c>
      <c r="I108" s="527">
        <f t="shared" si="75"/>
        <v>-18960.897000000001</v>
      </c>
      <c r="J108" s="23">
        <f t="shared" ref="J108:O108" si="76">SUM(J104:J107)</f>
        <v>-16443.076516242214</v>
      </c>
      <c r="K108" s="23">
        <f t="shared" si="76"/>
        <v>-17015.845477165614</v>
      </c>
      <c r="L108" s="23">
        <f t="shared" si="76"/>
        <v>-17866.637751023896</v>
      </c>
      <c r="M108" s="23">
        <f t="shared" si="76"/>
        <v>-18759.96963857509</v>
      </c>
      <c r="N108" s="23">
        <f t="shared" si="76"/>
        <v>-19697.968120503843</v>
      </c>
      <c r="O108" s="23">
        <f t="shared" si="76"/>
        <v>-20014.646293196663</v>
      </c>
    </row>
    <row r="109" spans="2:17">
      <c r="B109" s="297" t="s">
        <v>45</v>
      </c>
      <c r="C109" s="528">
        <f>C103+C108</f>
        <v>1383.5599999999995</v>
      </c>
      <c r="D109" s="528">
        <f t="shared" ref="D109:N109" si="77">D103+D108</f>
        <v>1112.5</v>
      </c>
      <c r="E109" s="528">
        <f t="shared" si="77"/>
        <v>744.86000000000058</v>
      </c>
      <c r="F109" s="528">
        <f t="shared" si="77"/>
        <v>-1899.7399999999998</v>
      </c>
      <c r="G109" s="528">
        <f t="shared" si="77"/>
        <v>-2383.92</v>
      </c>
      <c r="H109" s="528">
        <f t="shared" si="77"/>
        <v>3776.2200000000012</v>
      </c>
      <c r="I109" s="529">
        <f t="shared" si="77"/>
        <v>9032.9143000000004</v>
      </c>
      <c r="J109" s="110">
        <f t="shared" si="77"/>
        <v>1950.9468538344881</v>
      </c>
      <c r="K109" s="110">
        <f t="shared" si="77"/>
        <v>2297.879061414922</v>
      </c>
      <c r="L109" s="110">
        <f t="shared" si="77"/>
        <v>2412.7730144856723</v>
      </c>
      <c r="M109" s="110">
        <f t="shared" si="77"/>
        <v>2533.4116652099547</v>
      </c>
      <c r="N109" s="110">
        <f t="shared" si="77"/>
        <v>2660.0822484704513</v>
      </c>
      <c r="O109" s="22">
        <f>O103+O108</f>
        <v>2790.565083157122</v>
      </c>
    </row>
    <row r="110" spans="2:17">
      <c r="B110" s="17" t="s">
        <v>46</v>
      </c>
      <c r="C110" s="468">
        <f>'Reformulering '!C59</f>
        <v>85481</v>
      </c>
      <c r="D110" s="468">
        <f>'Reformulering '!D59</f>
        <v>80743</v>
      </c>
      <c r="E110" s="468">
        <f>'Reformulering '!E59</f>
        <v>75372</v>
      </c>
      <c r="F110" s="468">
        <f>'Reformulering '!F59</f>
        <v>71807</v>
      </c>
      <c r="G110" s="468">
        <f>'Reformulering '!G59</f>
        <v>86055</v>
      </c>
      <c r="H110" s="468">
        <f>'Reformulering '!H59</f>
        <v>112524</v>
      </c>
      <c r="I110" s="250">
        <f t="shared" ref="I110:N110" si="78">I32</f>
        <v>114011.19699999999</v>
      </c>
      <c r="J110" s="22">
        <f t="shared" si="78"/>
        <v>103613.95419875384</v>
      </c>
      <c r="K110" s="22">
        <f t="shared" si="78"/>
        <v>108794.65190869155</v>
      </c>
      <c r="L110" s="22">
        <f t="shared" si="78"/>
        <v>114234.38450412612</v>
      </c>
      <c r="M110" s="22">
        <f t="shared" si="78"/>
        <v>119946.10372933243</v>
      </c>
      <c r="N110" s="22">
        <f t="shared" si="78"/>
        <v>125943.40891579905</v>
      </c>
      <c r="O110" s="22">
        <f>N110*1.02</f>
        <v>128462.27709411504</v>
      </c>
    </row>
    <row r="111" spans="2:17">
      <c r="B111" s="17" t="s">
        <v>47</v>
      </c>
      <c r="C111" s="468">
        <f>'Reformulering '!C60</f>
        <v>1338</v>
      </c>
      <c r="D111" s="468">
        <f>'Reformulering '!D60</f>
        <v>62</v>
      </c>
      <c r="E111" s="468">
        <f>'Reformulering '!E60</f>
        <v>0</v>
      </c>
      <c r="F111" s="468">
        <f>'Reformulering '!F60</f>
        <v>0</v>
      </c>
      <c r="G111" s="468">
        <f>'Reformulering '!G60</f>
        <v>0</v>
      </c>
      <c r="H111" s="468">
        <f>'Reformulering '!H60</f>
        <v>0</v>
      </c>
      <c r="I111" s="18">
        <f>'Reformulering '!I60</f>
        <v>0</v>
      </c>
      <c r="J111">
        <f>0</f>
        <v>0</v>
      </c>
      <c r="K111">
        <f>0</f>
        <v>0</v>
      </c>
      <c r="L111">
        <f>0</f>
        <v>0</v>
      </c>
      <c r="M111">
        <f>0</f>
        <v>0</v>
      </c>
      <c r="N111">
        <f>0</f>
        <v>0</v>
      </c>
      <c r="O111">
        <v>0</v>
      </c>
    </row>
    <row r="112" spans="2:17" ht="15" thickBot="1">
      <c r="B112" s="530" t="s">
        <v>472</v>
      </c>
      <c r="C112" s="531">
        <f>C109+C110</f>
        <v>86864.56</v>
      </c>
      <c r="D112" s="531">
        <f t="shared" ref="D112:H112" si="79">D109+D110</f>
        <v>81855.5</v>
      </c>
      <c r="E112" s="531">
        <f t="shared" si="79"/>
        <v>76116.86</v>
      </c>
      <c r="F112" s="531">
        <f t="shared" si="79"/>
        <v>69907.259999999995</v>
      </c>
      <c r="G112" s="531">
        <f t="shared" si="79"/>
        <v>83671.08</v>
      </c>
      <c r="H112" s="531">
        <f t="shared" si="79"/>
        <v>116300.22</v>
      </c>
      <c r="I112" s="532">
        <f>I109+I110</f>
        <v>123044.11129999999</v>
      </c>
      <c r="J112" s="23">
        <f>J109+J110</f>
        <v>105564.90105258834</v>
      </c>
      <c r="K112" s="23">
        <f t="shared" ref="K112:N112" si="80">K109+K110</f>
        <v>111092.53097010647</v>
      </c>
      <c r="L112" s="23">
        <f t="shared" si="80"/>
        <v>116647.1575186118</v>
      </c>
      <c r="M112" s="23">
        <f t="shared" si="80"/>
        <v>122479.5153945424</v>
      </c>
      <c r="N112" s="23">
        <f t="shared" si="80"/>
        <v>128603.49116426951</v>
      </c>
      <c r="O112" s="23">
        <f>O109+O110</f>
        <v>131252.84217727216</v>
      </c>
    </row>
    <row r="113" spans="2:15">
      <c r="I113" s="476"/>
    </row>
    <row r="114" spans="2:15">
      <c r="C114" s="35"/>
      <c r="D114" s="35"/>
      <c r="E114" s="35"/>
      <c r="F114" s="35"/>
      <c r="G114" s="35"/>
      <c r="H114" s="35"/>
      <c r="I114" s="35"/>
      <c r="J114" s="477"/>
      <c r="K114" s="477"/>
      <c r="L114" s="477"/>
      <c r="M114" s="477"/>
      <c r="N114" s="477"/>
      <c r="O114" s="477"/>
    </row>
    <row r="115" spans="2:15">
      <c r="B115" s="261" t="s">
        <v>49</v>
      </c>
      <c r="C115" s="299"/>
      <c r="D115" s="299">
        <v>2017</v>
      </c>
      <c r="E115" s="299">
        <v>2018</v>
      </c>
      <c r="F115" s="299">
        <v>2019</v>
      </c>
      <c r="G115" s="299">
        <v>2020</v>
      </c>
      <c r="H115" s="299">
        <v>2021</v>
      </c>
      <c r="I115" s="299">
        <v>2022</v>
      </c>
      <c r="J115" s="299">
        <v>2023</v>
      </c>
      <c r="K115" s="299">
        <v>2024</v>
      </c>
      <c r="L115" s="299">
        <v>2025</v>
      </c>
      <c r="M115" s="299">
        <v>2026</v>
      </c>
      <c r="N115" s="299">
        <v>2027</v>
      </c>
      <c r="O115" s="300" t="s">
        <v>3</v>
      </c>
    </row>
    <row r="116" spans="2:15">
      <c r="B116" s="17" t="s">
        <v>50</v>
      </c>
      <c r="C116" s="22"/>
      <c r="D116">
        <f t="shared" ref="D116:O116" si="81">D6</f>
        <v>17518</v>
      </c>
      <c r="E116">
        <f t="shared" si="81"/>
        <v>13487</v>
      </c>
      <c r="F116">
        <f t="shared" si="81"/>
        <v>17021</v>
      </c>
      <c r="G116">
        <f t="shared" si="81"/>
        <v>18287</v>
      </c>
      <c r="H116">
        <f t="shared" si="81"/>
        <v>24404</v>
      </c>
      <c r="I116" s="22">
        <f t="shared" si="81"/>
        <v>31817.905999999999</v>
      </c>
      <c r="J116" s="22">
        <f t="shared" si="81"/>
        <v>27649.54190292432</v>
      </c>
      <c r="K116" s="22">
        <f t="shared" si="81"/>
        <v>29032.018998070536</v>
      </c>
      <c r="L116" s="22">
        <f t="shared" si="81"/>
        <v>30483.619947974064</v>
      </c>
      <c r="M116" s="22">
        <f t="shared" si="81"/>
        <v>32007.800945372768</v>
      </c>
      <c r="N116" s="22">
        <f t="shared" si="81"/>
        <v>33608.190992641408</v>
      </c>
      <c r="O116" s="250">
        <f t="shared" si="81"/>
        <v>34280.354812494239</v>
      </c>
    </row>
    <row r="117" spans="2:15">
      <c r="B117" s="17" t="s">
        <v>51</v>
      </c>
      <c r="D117">
        <f t="shared" ref="D117:I117" si="82">D36</f>
        <v>4701</v>
      </c>
      <c r="E117">
        <f t="shared" si="82"/>
        <v>4267</v>
      </c>
      <c r="F117">
        <f t="shared" si="82"/>
        <v>4621</v>
      </c>
      <c r="G117">
        <f t="shared" si="82"/>
        <v>5866</v>
      </c>
      <c r="H117">
        <f t="shared" si="82"/>
        <v>6710</v>
      </c>
      <c r="I117" s="22">
        <f t="shared" si="82"/>
        <v>6387.9629999999997</v>
      </c>
      <c r="J117" s="22">
        <f t="shared" ref="J117:O117" si="83">J116*$C$119/$C$120</f>
        <v>7553.9214757858817</v>
      </c>
      <c r="K117" s="22">
        <f t="shared" si="83"/>
        <v>7931.617549575175</v>
      </c>
      <c r="L117" s="22">
        <f t="shared" si="83"/>
        <v>8328.1984270539342</v>
      </c>
      <c r="M117" s="22">
        <f t="shared" si="83"/>
        <v>8744.6083484066312</v>
      </c>
      <c r="N117" s="22">
        <f t="shared" si="83"/>
        <v>9181.8387658269621</v>
      </c>
      <c r="O117" s="250">
        <f t="shared" si="83"/>
        <v>9365.4755411435035</v>
      </c>
    </row>
    <row r="118" spans="2:15">
      <c r="B118" t="s">
        <v>52</v>
      </c>
      <c r="D118">
        <f>C36</f>
        <v>4009</v>
      </c>
      <c r="E118">
        <f t="shared" ref="E118:O118" si="84">D117</f>
        <v>4701</v>
      </c>
      <c r="F118">
        <f t="shared" si="84"/>
        <v>4267</v>
      </c>
      <c r="G118" s="22">
        <f t="shared" si="84"/>
        <v>4621</v>
      </c>
      <c r="H118" s="22">
        <f t="shared" si="84"/>
        <v>5866</v>
      </c>
      <c r="I118" s="22">
        <f t="shared" si="84"/>
        <v>6710</v>
      </c>
      <c r="J118" s="22">
        <f t="shared" si="84"/>
        <v>6387.9629999999997</v>
      </c>
      <c r="K118" s="22">
        <f t="shared" si="84"/>
        <v>7553.9214757858817</v>
      </c>
      <c r="L118" s="22">
        <f t="shared" si="84"/>
        <v>7931.617549575175</v>
      </c>
      <c r="M118" s="22">
        <f t="shared" si="84"/>
        <v>8328.1984270539342</v>
      </c>
      <c r="N118" s="22">
        <f t="shared" si="84"/>
        <v>8744.6083484066312</v>
      </c>
      <c r="O118" s="22">
        <f t="shared" si="84"/>
        <v>9181.8387658269621</v>
      </c>
    </row>
    <row r="119" spans="2:15">
      <c r="B119" s="17" t="s">
        <v>53</v>
      </c>
      <c r="C119" s="1">
        <f>Likviditetsanalyse!X10</f>
        <v>99.718879551137761</v>
      </c>
      <c r="N119" s="22"/>
      <c r="O119" s="250"/>
    </row>
    <row r="120" spans="2:15">
      <c r="B120" s="17" t="s">
        <v>54</v>
      </c>
      <c r="C120">
        <f>365</f>
        <v>365</v>
      </c>
    </row>
    <row r="121" spans="2:15">
      <c r="B121" s="19" t="s">
        <v>55</v>
      </c>
      <c r="C121" s="466"/>
      <c r="D121" s="251">
        <f t="shared" ref="D121:I121" si="85">D116-C36+D36</f>
        <v>18210</v>
      </c>
      <c r="E121" s="251">
        <f t="shared" si="85"/>
        <v>13053</v>
      </c>
      <c r="F121" s="251">
        <f t="shared" si="85"/>
        <v>17375</v>
      </c>
      <c r="G121" s="251">
        <f t="shared" si="85"/>
        <v>19532</v>
      </c>
      <c r="H121" s="251">
        <f t="shared" si="85"/>
        <v>25248</v>
      </c>
      <c r="I121" s="251">
        <f t="shared" si="85"/>
        <v>31495.868999999999</v>
      </c>
      <c r="J121" s="251">
        <f t="shared" ref="J121:O121" si="86">J116+J117-J118</f>
        <v>28815.5003787102</v>
      </c>
      <c r="K121" s="251">
        <f t="shared" si="86"/>
        <v>29409.715071859831</v>
      </c>
      <c r="L121" s="251">
        <f t="shared" si="86"/>
        <v>30880.200825452826</v>
      </c>
      <c r="M121" s="251">
        <f t="shared" si="86"/>
        <v>32424.210866725465</v>
      </c>
      <c r="N121" s="251">
        <f t="shared" si="86"/>
        <v>34045.421410061739</v>
      </c>
      <c r="O121" s="251">
        <f t="shared" si="86"/>
        <v>34463.991587810779</v>
      </c>
    </row>
    <row r="123" spans="2:15">
      <c r="B123" s="261" t="s">
        <v>56</v>
      </c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302"/>
    </row>
    <row r="124" spans="2:15">
      <c r="B124" s="17"/>
      <c r="D124">
        <f t="shared" ref="D124:N124" si="87">D99</f>
        <v>2017</v>
      </c>
      <c r="E124">
        <f t="shared" si="87"/>
        <v>2018</v>
      </c>
      <c r="F124">
        <f t="shared" si="87"/>
        <v>2019</v>
      </c>
      <c r="G124">
        <f t="shared" si="87"/>
        <v>2020</v>
      </c>
      <c r="H124">
        <f t="shared" si="87"/>
        <v>2021</v>
      </c>
      <c r="I124">
        <f t="shared" si="87"/>
        <v>2022</v>
      </c>
      <c r="J124">
        <f t="shared" si="87"/>
        <v>2023</v>
      </c>
      <c r="K124">
        <f t="shared" si="87"/>
        <v>2024</v>
      </c>
      <c r="L124">
        <f t="shared" si="87"/>
        <v>2025</v>
      </c>
      <c r="M124">
        <f t="shared" si="87"/>
        <v>2026</v>
      </c>
      <c r="N124">
        <f t="shared" si="87"/>
        <v>2027</v>
      </c>
      <c r="O124" s="18"/>
    </row>
    <row r="125" spans="2:15">
      <c r="B125" s="17" t="s">
        <v>57</v>
      </c>
      <c r="C125" s="22"/>
      <c r="D125" s="22">
        <f t="shared" ref="D125:O125" si="88">D109-C109</f>
        <v>-271.05999999999949</v>
      </c>
      <c r="E125" s="22">
        <f t="shared" si="88"/>
        <v>-367.63999999999942</v>
      </c>
      <c r="F125" s="22">
        <f t="shared" si="88"/>
        <v>-2644.6000000000004</v>
      </c>
      <c r="G125" s="22">
        <f t="shared" si="88"/>
        <v>-484.18000000000029</v>
      </c>
      <c r="H125" s="22">
        <f t="shared" si="88"/>
        <v>6160.1400000000012</v>
      </c>
      <c r="I125" s="22">
        <f t="shared" si="88"/>
        <v>5256.6942999999992</v>
      </c>
      <c r="J125" s="22">
        <f t="shared" si="88"/>
        <v>-7081.9674461655122</v>
      </c>
      <c r="K125" s="22">
        <f t="shared" si="88"/>
        <v>346.9322075804339</v>
      </c>
      <c r="L125" s="22">
        <f t="shared" si="88"/>
        <v>114.89395307075029</v>
      </c>
      <c r="M125" s="22">
        <f t="shared" si="88"/>
        <v>120.63865072428234</v>
      </c>
      <c r="N125" s="22">
        <f t="shared" si="88"/>
        <v>126.67058326049664</v>
      </c>
      <c r="O125" s="250">
        <f t="shared" si="88"/>
        <v>130.48283468667069</v>
      </c>
    </row>
    <row r="126" spans="2:15">
      <c r="B126" s="19" t="s">
        <v>58</v>
      </c>
      <c r="C126" s="20"/>
      <c r="D126" s="251">
        <f t="shared" ref="D126:O126" si="89">C86</f>
        <v>-455</v>
      </c>
      <c r="E126" s="251">
        <f t="shared" si="89"/>
        <v>126</v>
      </c>
      <c r="F126" s="251">
        <f t="shared" si="89"/>
        <v>2052</v>
      </c>
      <c r="G126" s="251">
        <f t="shared" si="89"/>
        <v>20295</v>
      </c>
      <c r="H126" s="251">
        <f t="shared" si="89"/>
        <v>34315</v>
      </c>
      <c r="I126" s="251">
        <f t="shared" si="89"/>
        <v>12448.464999999986</v>
      </c>
      <c r="J126" s="251">
        <f t="shared" si="89"/>
        <v>6894.292999999996</v>
      </c>
      <c r="K126" s="251">
        <f t="shared" si="89"/>
        <v>7031.1588599999959</v>
      </c>
      <c r="L126" s="251">
        <f t="shared" si="89"/>
        <v>7171.782037199996</v>
      </c>
      <c r="M126" s="251">
        <f t="shared" si="89"/>
        <v>7315.2176779439951</v>
      </c>
      <c r="N126" s="251">
        <f t="shared" si="89"/>
        <v>7461.5220315028755</v>
      </c>
      <c r="O126" s="253">
        <f t="shared" si="89"/>
        <v>7610.7524721329337</v>
      </c>
    </row>
    <row r="129" spans="2:8">
      <c r="B129" s="514" t="s">
        <v>25</v>
      </c>
      <c r="C129" s="515">
        <v>2023</v>
      </c>
      <c r="D129" s="515">
        <v>2024</v>
      </c>
      <c r="E129" s="515">
        <v>2025</v>
      </c>
      <c r="F129" s="515">
        <v>2026</v>
      </c>
      <c r="G129" s="515">
        <v>2027</v>
      </c>
      <c r="H129" s="516" t="s">
        <v>3</v>
      </c>
    </row>
    <row r="130" spans="2:8">
      <c r="B130" s="17" t="s">
        <v>451</v>
      </c>
      <c r="C130" s="471">
        <f t="shared" ref="C130:H133" si="90">I84</f>
        <v>114011.19699999999</v>
      </c>
      <c r="D130" s="471">
        <f t="shared" si="90"/>
        <v>109799.35010701897</v>
      </c>
      <c r="E130" s="471">
        <f t="shared" si="90"/>
        <v>106134.65650222155</v>
      </c>
      <c r="F130" s="471">
        <f t="shared" si="90"/>
        <v>102967.57381715081</v>
      </c>
      <c r="G130" s="471">
        <f t="shared" si="90"/>
        <v>100252.44088616184</v>
      </c>
      <c r="H130" s="250">
        <f t="shared" si="90"/>
        <v>97948.100770857127</v>
      </c>
    </row>
    <row r="131" spans="2:8">
      <c r="B131" s="17" t="s">
        <v>452</v>
      </c>
      <c r="C131" s="471">
        <f t="shared" si="90"/>
        <v>11106.139892981015</v>
      </c>
      <c r="D131" s="471">
        <f t="shared" si="90"/>
        <v>10695.852464797408</v>
      </c>
      <c r="E131" s="471">
        <f t="shared" si="90"/>
        <v>10338.864722270742</v>
      </c>
      <c r="F131" s="471">
        <f t="shared" si="90"/>
        <v>10030.350608932966</v>
      </c>
      <c r="G131" s="471">
        <f t="shared" si="90"/>
        <v>9765.8621468075908</v>
      </c>
      <c r="H131" s="250">
        <f t="shared" si="90"/>
        <v>9541.3901269095622</v>
      </c>
    </row>
    <row r="132" spans="2:8">
      <c r="B132" s="17" t="s">
        <v>25</v>
      </c>
      <c r="C132" s="471">
        <f t="shared" si="90"/>
        <v>6894.292999999996</v>
      </c>
      <c r="D132" s="471">
        <f t="shared" si="90"/>
        <v>7031.1588599999959</v>
      </c>
      <c r="E132" s="471">
        <f t="shared" si="90"/>
        <v>7171.782037199996</v>
      </c>
      <c r="F132" s="471">
        <f t="shared" si="90"/>
        <v>7315.2176779439951</v>
      </c>
      <c r="G132" s="471">
        <f t="shared" si="90"/>
        <v>7461.5220315028755</v>
      </c>
      <c r="H132" s="250">
        <f t="shared" si="90"/>
        <v>7610.7524721329337</v>
      </c>
    </row>
    <row r="133" spans="2:8">
      <c r="B133" s="19" t="s">
        <v>29</v>
      </c>
      <c r="C133" s="251">
        <f t="shared" si="90"/>
        <v>109799.35010701897</v>
      </c>
      <c r="D133" s="251">
        <f t="shared" si="90"/>
        <v>106134.65650222155</v>
      </c>
      <c r="E133" s="251">
        <f t="shared" si="90"/>
        <v>102967.57381715081</v>
      </c>
      <c r="F133" s="251">
        <f t="shared" si="90"/>
        <v>100252.44088616184</v>
      </c>
      <c r="G133" s="251">
        <f t="shared" si="90"/>
        <v>97948.100770857127</v>
      </c>
      <c r="H133" s="253">
        <f t="shared" si="90"/>
        <v>96017.4631160805</v>
      </c>
    </row>
    <row r="142" spans="2:8">
      <c r="B142" s="555" t="str">
        <f>B98</f>
        <v>Arbeidskapital og investert kapital</v>
      </c>
      <c r="C142" s="556"/>
      <c r="D142" s="556"/>
      <c r="E142" s="556"/>
      <c r="F142" s="556"/>
      <c r="G142" s="556"/>
      <c r="H142" s="557"/>
    </row>
    <row r="143" spans="2:8">
      <c r="B143" s="550" t="str">
        <f t="shared" ref="B143:B156" si="91">B99</f>
        <v>NOWC</v>
      </c>
      <c r="C143" s="551">
        <f t="shared" ref="C143:H143" si="92">J99</f>
        <v>2023</v>
      </c>
      <c r="D143" s="551">
        <f t="shared" si="92"/>
        <v>2024</v>
      </c>
      <c r="E143" s="551">
        <f t="shared" si="92"/>
        <v>2025</v>
      </c>
      <c r="F143" s="551">
        <f t="shared" si="92"/>
        <v>2026</v>
      </c>
      <c r="G143" s="551">
        <f t="shared" si="92"/>
        <v>2027</v>
      </c>
      <c r="H143" s="552" t="str">
        <f t="shared" si="92"/>
        <v>Terminalperiode</v>
      </c>
    </row>
    <row r="144" spans="2:8">
      <c r="B144" s="17" t="str">
        <f t="shared" si="91"/>
        <v>Varelager</v>
      </c>
      <c r="C144" s="471">
        <f>J100</f>
        <v>7553.9214757858817</v>
      </c>
      <c r="D144" s="471">
        <f t="shared" ref="D144:H144" si="93">K100</f>
        <v>7931.617549575175</v>
      </c>
      <c r="E144" s="471">
        <f t="shared" si="93"/>
        <v>8328.1984270539342</v>
      </c>
      <c r="F144" s="471">
        <f t="shared" si="93"/>
        <v>8744.6083484066312</v>
      </c>
      <c r="G144" s="471">
        <f t="shared" si="93"/>
        <v>9181.8387658269621</v>
      </c>
      <c r="H144" s="250">
        <f t="shared" si="93"/>
        <v>9365.4755411435035</v>
      </c>
    </row>
    <row r="145" spans="2:8">
      <c r="B145" s="17" t="str">
        <f t="shared" si="91"/>
        <v>Kundefordringer</v>
      </c>
      <c r="C145" s="471">
        <f t="shared" ref="C145:C156" si="94">J101</f>
        <v>8544.6951771282784</v>
      </c>
      <c r="D145" s="471">
        <f t="shared" ref="D145:D156" si="95">K101</f>
        <v>8971.9299359846918</v>
      </c>
      <c r="E145" s="471">
        <f t="shared" ref="E145:E156" si="96">L101</f>
        <v>9420.5264327839286</v>
      </c>
      <c r="F145" s="471">
        <f t="shared" ref="F145:F156" si="97">M101</f>
        <v>9891.5527544231245</v>
      </c>
      <c r="G145" s="471">
        <f t="shared" ref="G145:G156" si="98">N101</f>
        <v>10386.13039214428</v>
      </c>
      <c r="H145" s="250">
        <f t="shared" ref="H145:H156" si="99">O101</f>
        <v>10593.852999987166</v>
      </c>
    </row>
    <row r="146" spans="2:8">
      <c r="B146" s="17" t="str">
        <f t="shared" si="91"/>
        <v>Operasjonelle kontanter</v>
      </c>
      <c r="C146" s="471">
        <f t="shared" si="94"/>
        <v>2295.4067171625434</v>
      </c>
      <c r="D146" s="471">
        <f t="shared" si="95"/>
        <v>2410.1770530206709</v>
      </c>
      <c r="E146" s="471">
        <f t="shared" si="96"/>
        <v>2530.6859056717044</v>
      </c>
      <c r="F146" s="471">
        <f t="shared" si="97"/>
        <v>2657.2202009552898</v>
      </c>
      <c r="G146" s="471">
        <f t="shared" si="98"/>
        <v>2790.0812110030542</v>
      </c>
      <c r="H146" s="250">
        <f t="shared" si="99"/>
        <v>2845.8828352231153</v>
      </c>
    </row>
    <row r="147" spans="2:8" ht="15" thickBot="1">
      <c r="B147" s="553" t="str">
        <f t="shared" si="91"/>
        <v>Sum operasjonelle omløpsmidler</v>
      </c>
      <c r="C147" s="549">
        <f t="shared" si="94"/>
        <v>18394.023370076702</v>
      </c>
      <c r="D147" s="549">
        <f t="shared" si="95"/>
        <v>19313.724538580536</v>
      </c>
      <c r="E147" s="549">
        <f t="shared" si="96"/>
        <v>20279.410765509569</v>
      </c>
      <c r="F147" s="549">
        <f t="shared" si="97"/>
        <v>21293.381303785045</v>
      </c>
      <c r="G147" s="549">
        <f t="shared" si="98"/>
        <v>22358.050368974295</v>
      </c>
      <c r="H147" s="554">
        <f t="shared" si="99"/>
        <v>22805.211376353785</v>
      </c>
    </row>
    <row r="148" spans="2:8">
      <c r="B148" s="17" t="str">
        <f t="shared" si="91"/>
        <v>- Leverandørgjeld</v>
      </c>
      <c r="C148" s="471">
        <f t="shared" si="94"/>
        <v>-8488.6445180077772</v>
      </c>
      <c r="D148" s="471">
        <f t="shared" si="95"/>
        <v>-8663.6918790194577</v>
      </c>
      <c r="E148" s="471">
        <f t="shared" si="96"/>
        <v>-9096.8764729704308</v>
      </c>
      <c r="F148" s="471">
        <f t="shared" si="97"/>
        <v>-9551.7202966189507</v>
      </c>
      <c r="G148" s="471">
        <f t="shared" si="98"/>
        <v>-10029.306311449898</v>
      </c>
      <c r="H148" s="250">
        <f t="shared" si="99"/>
        <v>-10152.61124796164</v>
      </c>
    </row>
    <row r="149" spans="2:8">
      <c r="B149" s="17" t="str">
        <f t="shared" si="91"/>
        <v>- Skyldig offentlig avgifter</v>
      </c>
      <c r="C149" s="471">
        <f t="shared" si="94"/>
        <v>-1143.5897118455332</v>
      </c>
      <c r="D149" s="471">
        <f t="shared" si="95"/>
        <v>-1200.7691974378099</v>
      </c>
      <c r="E149" s="471">
        <f t="shared" si="96"/>
        <v>-1260.8076573097005</v>
      </c>
      <c r="F149" s="471">
        <f t="shared" si="97"/>
        <v>-1323.8480401751856</v>
      </c>
      <c r="G149" s="471">
        <f t="shared" si="98"/>
        <v>-1390.0404421839448</v>
      </c>
      <c r="H149" s="250">
        <f t="shared" si="99"/>
        <v>-1417.8412510276237</v>
      </c>
    </row>
    <row r="150" spans="2:8">
      <c r="B150" s="17" t="str">
        <f t="shared" si="91"/>
        <v>- Betalbar skatt</v>
      </c>
      <c r="C150" s="471">
        <f t="shared" si="94"/>
        <v>-2014.031425586739</v>
      </c>
      <c r="D150" s="471">
        <f t="shared" si="95"/>
        <v>-2114.7329968660761</v>
      </c>
      <c r="E150" s="471">
        <f t="shared" si="96"/>
        <v>-2220.46964670938</v>
      </c>
      <c r="F150" s="471">
        <f t="shared" si="97"/>
        <v>-2331.4931290448494</v>
      </c>
      <c r="G150" s="471">
        <f t="shared" si="98"/>
        <v>-2448.0677854970913</v>
      </c>
      <c r="H150" s="250">
        <f t="shared" si="99"/>
        <v>-2497.0291412070337</v>
      </c>
    </row>
    <row r="151" spans="2:8">
      <c r="B151" s="17" t="str">
        <f t="shared" si="91"/>
        <v>- Annen kortsiktig gjeld</v>
      </c>
      <c r="C151" s="471">
        <f t="shared" si="94"/>
        <v>-4796.810860802163</v>
      </c>
      <c r="D151" s="471">
        <f t="shared" si="95"/>
        <v>-5036.6514038422711</v>
      </c>
      <c r="E151" s="471">
        <f t="shared" si="96"/>
        <v>-5288.483974034385</v>
      </c>
      <c r="F151" s="471">
        <f t="shared" si="97"/>
        <v>-5552.9081727361054</v>
      </c>
      <c r="G151" s="471">
        <f t="shared" si="98"/>
        <v>-5830.5535813729093</v>
      </c>
      <c r="H151" s="250">
        <f t="shared" si="99"/>
        <v>-5947.1646530003682</v>
      </c>
    </row>
    <row r="152" spans="2:8" ht="15" thickBot="1">
      <c r="B152" s="553" t="str">
        <f t="shared" si="91"/>
        <v>Sum operasjonell kortsiktig gjeld</v>
      </c>
      <c r="C152" s="549">
        <f t="shared" si="94"/>
        <v>-16443.076516242214</v>
      </c>
      <c r="D152" s="549">
        <f t="shared" si="95"/>
        <v>-17015.845477165614</v>
      </c>
      <c r="E152" s="549">
        <f t="shared" si="96"/>
        <v>-17866.637751023896</v>
      </c>
      <c r="F152" s="549">
        <f t="shared" si="97"/>
        <v>-18759.96963857509</v>
      </c>
      <c r="G152" s="549">
        <f t="shared" si="98"/>
        <v>-19697.968120503843</v>
      </c>
      <c r="H152" s="554">
        <f t="shared" si="99"/>
        <v>-20014.646293196663</v>
      </c>
    </row>
    <row r="153" spans="2:8">
      <c r="B153" s="297" t="str">
        <f t="shared" si="91"/>
        <v>Netto arbeidskapital</v>
      </c>
      <c r="C153" s="528">
        <f t="shared" si="94"/>
        <v>1950.9468538344881</v>
      </c>
      <c r="D153" s="528">
        <f t="shared" si="95"/>
        <v>2297.879061414922</v>
      </c>
      <c r="E153" s="528">
        <f t="shared" si="96"/>
        <v>2412.7730144856723</v>
      </c>
      <c r="F153" s="528">
        <f t="shared" si="97"/>
        <v>2533.4116652099547</v>
      </c>
      <c r="G153" s="528">
        <f t="shared" si="98"/>
        <v>2660.0822484704513</v>
      </c>
      <c r="H153" s="529">
        <f t="shared" si="99"/>
        <v>2790.565083157122</v>
      </c>
    </row>
    <row r="154" spans="2:8">
      <c r="B154" s="17" t="str">
        <f t="shared" si="91"/>
        <v>Varige driftsmidler</v>
      </c>
      <c r="C154" s="471">
        <f t="shared" si="94"/>
        <v>103613.95419875384</v>
      </c>
      <c r="D154" s="471">
        <f t="shared" si="95"/>
        <v>108794.65190869155</v>
      </c>
      <c r="E154" s="471">
        <f t="shared" si="96"/>
        <v>114234.38450412612</v>
      </c>
      <c r="F154" s="471">
        <f t="shared" si="97"/>
        <v>119946.10372933243</v>
      </c>
      <c r="G154" s="471">
        <f t="shared" si="98"/>
        <v>125943.40891579905</v>
      </c>
      <c r="H154" s="250">
        <f t="shared" si="99"/>
        <v>128462.27709411504</v>
      </c>
    </row>
    <row r="155" spans="2:8">
      <c r="B155" s="17" t="str">
        <f t="shared" si="91"/>
        <v>Immaterielle eiendeler</v>
      </c>
      <c r="C155" s="471">
        <f t="shared" si="94"/>
        <v>0</v>
      </c>
      <c r="D155" s="471">
        <f t="shared" si="95"/>
        <v>0</v>
      </c>
      <c r="E155" s="471">
        <f t="shared" si="96"/>
        <v>0</v>
      </c>
      <c r="F155" s="471">
        <f t="shared" si="97"/>
        <v>0</v>
      </c>
      <c r="G155" s="471">
        <f t="shared" si="98"/>
        <v>0</v>
      </c>
      <c r="H155" s="250">
        <f t="shared" si="99"/>
        <v>0</v>
      </c>
    </row>
    <row r="156" spans="2:8">
      <c r="B156" s="530" t="str">
        <f t="shared" si="91"/>
        <v>Investert kapital (NOA)</v>
      </c>
      <c r="C156" s="531">
        <f t="shared" si="94"/>
        <v>105564.90105258834</v>
      </c>
      <c r="D156" s="531">
        <f t="shared" si="95"/>
        <v>111092.53097010647</v>
      </c>
      <c r="E156" s="531">
        <f t="shared" si="96"/>
        <v>116647.1575186118</v>
      </c>
      <c r="F156" s="531">
        <f t="shared" si="97"/>
        <v>122479.5153945424</v>
      </c>
      <c r="G156" s="531">
        <f t="shared" si="98"/>
        <v>128603.49116426951</v>
      </c>
      <c r="H156" s="532">
        <f t="shared" si="99"/>
        <v>131252.84217727216</v>
      </c>
    </row>
    <row r="166" spans="2:14">
      <c r="B166" s="11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2:14">
      <c r="B167" s="11"/>
      <c r="C167" s="11"/>
      <c r="D167" s="11"/>
      <c r="E167" s="11"/>
      <c r="F167" s="11"/>
      <c r="G167" s="11"/>
      <c r="H167" s="11"/>
      <c r="I167" s="194"/>
      <c r="J167" s="194"/>
      <c r="K167" s="194"/>
      <c r="L167" s="194"/>
      <c r="M167" s="194"/>
      <c r="N167" s="194"/>
    </row>
    <row r="177" spans="2:6">
      <c r="C177">
        <v>2021</v>
      </c>
      <c r="D177">
        <v>2022</v>
      </c>
      <c r="E177">
        <v>2023</v>
      </c>
    </row>
    <row r="178" spans="2:6">
      <c r="B178" t="s">
        <v>59</v>
      </c>
      <c r="C178">
        <f>55204</f>
        <v>55204</v>
      </c>
      <c r="D178">
        <f>40023</f>
        <v>40023</v>
      </c>
      <c r="E178">
        <f>35220</f>
        <v>35220</v>
      </c>
    </row>
    <row r="180" spans="2:6">
      <c r="C180">
        <v>2020</v>
      </c>
      <c r="D180">
        <v>2021</v>
      </c>
      <c r="E180">
        <v>2022</v>
      </c>
      <c r="F180">
        <v>2023</v>
      </c>
    </row>
    <row r="181" spans="2:6">
      <c r="B181" t="s">
        <v>45</v>
      </c>
      <c r="C181">
        <f>345024</f>
        <v>345024</v>
      </c>
      <c r="D181">
        <f>400228</f>
        <v>400228</v>
      </c>
      <c r="E181">
        <f>440251</f>
        <v>440251</v>
      </c>
      <c r="F181">
        <f>475471</f>
        <v>475471</v>
      </c>
    </row>
    <row r="182" spans="2:6">
      <c r="B182" t="s">
        <v>60</v>
      </c>
      <c r="D182">
        <f>D181-C181</f>
        <v>55204</v>
      </c>
      <c r="E182">
        <f>E181-D181</f>
        <v>40023</v>
      </c>
      <c r="F182">
        <f>F181-E181</f>
        <v>35220</v>
      </c>
    </row>
  </sheetData>
  <mergeCells count="7">
    <mergeCell ref="B142:H142"/>
    <mergeCell ref="J27:N27"/>
    <mergeCell ref="J1:N1"/>
    <mergeCell ref="J44:N44"/>
    <mergeCell ref="B1:I1"/>
    <mergeCell ref="B27:I27"/>
    <mergeCell ref="B44:I4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A3B8-D4FB-A24A-836E-216502F019D1}">
  <sheetPr codeName="Ark4"/>
  <dimension ref="B1:U70"/>
  <sheetViews>
    <sheetView topLeftCell="A57" zoomScale="95" workbookViewId="0">
      <selection activeCell="D74" sqref="D74"/>
    </sheetView>
  </sheetViews>
  <sheetFormatPr defaultColWidth="11.44140625" defaultRowHeight="14.4"/>
  <cols>
    <col min="2" max="2" width="23.33203125" bestFit="1" customWidth="1"/>
    <col min="3" max="5" width="15.33203125" bestFit="1" customWidth="1"/>
    <col min="6" max="6" width="14.77734375" bestFit="1" customWidth="1"/>
    <col min="7" max="7" width="20.77734375" bestFit="1" customWidth="1"/>
    <col min="8" max="8" width="10" bestFit="1" customWidth="1"/>
    <col min="13" max="13" width="26.33203125" bestFit="1" customWidth="1"/>
    <col min="14" max="14" width="13.33203125" bestFit="1" customWidth="1"/>
    <col min="18" max="18" width="20.77734375" bestFit="1" customWidth="1"/>
  </cols>
  <sheetData>
    <row r="1" spans="2:21">
      <c r="F1" s="360"/>
    </row>
    <row r="2" spans="2:21">
      <c r="B2" s="351" t="s">
        <v>111</v>
      </c>
      <c r="C2" s="352" t="s">
        <v>158</v>
      </c>
      <c r="D2" s="352" t="s">
        <v>159</v>
      </c>
      <c r="E2" s="353" t="s">
        <v>160</v>
      </c>
      <c r="G2" s="555" t="s">
        <v>418</v>
      </c>
      <c r="H2" s="556"/>
      <c r="I2" s="556"/>
      <c r="J2" s="556"/>
      <c r="K2" s="556"/>
      <c r="L2" s="556"/>
      <c r="M2" s="556"/>
      <c r="N2" s="557"/>
    </row>
    <row r="3" spans="2:21">
      <c r="B3" s="354"/>
      <c r="C3" s="232"/>
      <c r="D3" s="359"/>
      <c r="E3" s="361"/>
      <c r="G3" s="621" t="s">
        <v>158</v>
      </c>
      <c r="H3" s="622"/>
      <c r="I3" s="474"/>
      <c r="J3" s="622" t="s">
        <v>159</v>
      </c>
      <c r="K3" s="622"/>
      <c r="L3" s="475"/>
      <c r="M3" s="467" t="s">
        <v>160</v>
      </c>
      <c r="N3" s="469"/>
    </row>
    <row r="4" spans="2:21">
      <c r="B4" s="355" t="s">
        <v>120</v>
      </c>
      <c r="C4" s="362">
        <v>7.85</v>
      </c>
      <c r="D4" s="363">
        <f>357.92/35.816</f>
        <v>9.993299084208175</v>
      </c>
      <c r="E4" s="149">
        <v>1.46</v>
      </c>
      <c r="G4" s="17" t="s">
        <v>161</v>
      </c>
      <c r="H4" s="470">
        <f>Iterasjon!P13</f>
        <v>408847.84436923167</v>
      </c>
      <c r="J4" s="468" t="s">
        <v>161</v>
      </c>
      <c r="K4" s="470">
        <f>H4</f>
        <v>408847.84436923167</v>
      </c>
      <c r="L4" s="468"/>
      <c r="M4" s="468" t="s">
        <v>161</v>
      </c>
      <c r="N4" s="310">
        <f>K4</f>
        <v>408847.84436923167</v>
      </c>
    </row>
    <row r="5" spans="2:21">
      <c r="B5" s="364" t="s">
        <v>124</v>
      </c>
      <c r="C5" s="365">
        <v>10.029999999999999</v>
      </c>
      <c r="D5" s="366">
        <f>1004/50.465</f>
        <v>19.894976716536213</v>
      </c>
      <c r="E5" s="367">
        <v>1.49</v>
      </c>
      <c r="G5" s="17" t="s">
        <v>162</v>
      </c>
      <c r="H5" s="470">
        <f>Forecast!O11</f>
        <v>33761.760227212697</v>
      </c>
      <c r="J5" s="468" t="s">
        <v>64</v>
      </c>
      <c r="K5" s="471">
        <f>Forecast!O14</f>
        <v>24220.370100303135</v>
      </c>
      <c r="L5" s="468"/>
      <c r="M5" s="468" t="s">
        <v>435</v>
      </c>
      <c r="N5" s="250">
        <f>Forecast!I3+Forecast!I5</f>
        <v>129126.02900000001</v>
      </c>
    </row>
    <row r="6" spans="2:21">
      <c r="B6" s="364" t="s">
        <v>126</v>
      </c>
      <c r="C6" s="365">
        <v>6.8</v>
      </c>
      <c r="D6" s="366">
        <f>1150/104.736</f>
        <v>10.979987778796211</v>
      </c>
      <c r="E6" s="367">
        <v>2.15</v>
      </c>
      <c r="G6" s="19" t="s">
        <v>158</v>
      </c>
      <c r="H6" s="472">
        <f>H4/H5</f>
        <v>12.109790532772388</v>
      </c>
      <c r="I6" s="20"/>
      <c r="J6" s="472" t="s">
        <v>433</v>
      </c>
      <c r="K6" s="472">
        <f>K4/K5</f>
        <v>16.880330179765281</v>
      </c>
      <c r="L6" s="472"/>
      <c r="M6" s="472" t="s">
        <v>160</v>
      </c>
      <c r="N6" s="473">
        <f>N4/N5</f>
        <v>3.1662697872419794</v>
      </c>
    </row>
    <row r="7" spans="2:21">
      <c r="B7" s="364" t="s">
        <v>128</v>
      </c>
      <c r="C7" s="365">
        <v>24.65</v>
      </c>
      <c r="D7" s="366">
        <v>73.819999999999993</v>
      </c>
      <c r="E7" s="367">
        <f>0.53</f>
        <v>0.53</v>
      </c>
    </row>
    <row r="8" spans="2:21">
      <c r="B8" s="364" t="s">
        <v>133</v>
      </c>
      <c r="C8" s="365">
        <v>9.2200000000000006</v>
      </c>
      <c r="D8" s="366">
        <v>11.4</v>
      </c>
      <c r="E8" s="367">
        <v>0.49</v>
      </c>
    </row>
    <row r="9" spans="2:21" ht="15" thickBot="1">
      <c r="B9" s="395" t="s">
        <v>7</v>
      </c>
      <c r="C9" s="396">
        <f>AVERAGE(C3:C8)</f>
        <v>11.709999999999999</v>
      </c>
      <c r="D9" s="396">
        <f>AVERAGE(D3:D8)</f>
        <v>25.21765271590812</v>
      </c>
      <c r="E9" s="397">
        <f>AVERAGE(E4:E8)</f>
        <v>1.224</v>
      </c>
    </row>
    <row r="10" spans="2:21">
      <c r="B10" s="368" t="s">
        <v>134</v>
      </c>
      <c r="C10" s="369">
        <f>MEDIAN(C3:C9)</f>
        <v>9.625</v>
      </c>
      <c r="D10" s="369">
        <f>MEDIAN(D3:D9)</f>
        <v>15.647488358268106</v>
      </c>
      <c r="E10" s="370">
        <f>MEDIAN(E4:E8)</f>
        <v>1.46</v>
      </c>
    </row>
    <row r="11" spans="2:21">
      <c r="B11" s="394" t="s">
        <v>163</v>
      </c>
      <c r="C11" s="194">
        <f>HARMEAN(C4:C8)</f>
        <v>9.5570119114151169</v>
      </c>
      <c r="D11" s="194">
        <f>HARMEAN(D4:D8)</f>
        <v>14.591232024519799</v>
      </c>
      <c r="E11" s="194">
        <f>HARMEAN(E4:E8)</f>
        <v>0.8697471072442664</v>
      </c>
    </row>
    <row r="12" spans="2:21">
      <c r="B12" s="394" t="s">
        <v>434</v>
      </c>
      <c r="C12" s="194">
        <f>H6</f>
        <v>12.109790532772388</v>
      </c>
      <c r="D12" s="194">
        <f>K6</f>
        <v>16.880330179765281</v>
      </c>
      <c r="E12" s="194">
        <f>N6</f>
        <v>3.1662697872419794</v>
      </c>
    </row>
    <row r="14" spans="2:21" ht="16.05" customHeight="1">
      <c r="B14" s="650"/>
      <c r="C14" s="650"/>
      <c r="D14" s="650"/>
      <c r="E14" s="650"/>
      <c r="F14" s="650"/>
      <c r="G14" s="650"/>
      <c r="H14" s="650"/>
      <c r="I14" s="650"/>
      <c r="J14" s="650"/>
      <c r="M14" s="423"/>
      <c r="N14" s="423"/>
      <c r="O14" s="423"/>
      <c r="P14" s="423"/>
      <c r="Q14" s="423"/>
      <c r="R14" s="423"/>
      <c r="S14" s="423"/>
      <c r="T14" s="423"/>
      <c r="U14" s="423"/>
    </row>
    <row r="15" spans="2:21" ht="16.05" customHeight="1">
      <c r="B15" s="650"/>
      <c r="C15" s="650"/>
      <c r="D15" s="650"/>
      <c r="E15" s="650"/>
      <c r="F15" s="650"/>
      <c r="G15" s="650"/>
      <c r="H15" s="650"/>
      <c r="I15" s="650"/>
      <c r="J15" s="650"/>
      <c r="M15" s="653" t="s">
        <v>163</v>
      </c>
      <c r="N15" s="653"/>
      <c r="O15" s="653"/>
      <c r="P15" s="653"/>
      <c r="Q15" s="653"/>
      <c r="R15" s="653"/>
      <c r="S15" s="653"/>
      <c r="T15" s="653"/>
      <c r="U15" s="653"/>
    </row>
    <row r="16" spans="2:21" ht="18">
      <c r="B16" s="642" t="s">
        <v>164</v>
      </c>
      <c r="C16" s="642"/>
      <c r="D16" s="642"/>
      <c r="E16" s="642"/>
      <c r="F16" s="642"/>
      <c r="G16" s="642"/>
      <c r="H16" s="642"/>
      <c r="I16" s="642"/>
      <c r="J16" s="642"/>
      <c r="M16" s="653"/>
      <c r="N16" s="653"/>
      <c r="O16" s="653"/>
      <c r="P16" s="653"/>
      <c r="Q16" s="653"/>
      <c r="R16" s="653"/>
      <c r="S16" s="653"/>
      <c r="T16" s="653"/>
      <c r="U16" s="653"/>
    </row>
    <row r="17" spans="2:21">
      <c r="B17" s="629" t="s">
        <v>165</v>
      </c>
      <c r="C17" s="630"/>
      <c r="D17" s="630"/>
      <c r="E17" s="631"/>
      <c r="F17" s="259"/>
      <c r="G17" s="648" t="s">
        <v>166</v>
      </c>
      <c r="H17" s="648"/>
      <c r="I17" s="648"/>
      <c r="J17" s="648"/>
      <c r="M17" s="402" t="s">
        <v>167</v>
      </c>
      <c r="N17" s="641">
        <f>C18</f>
        <v>67710.838084106115</v>
      </c>
      <c r="O17" s="641"/>
      <c r="P17" s="641"/>
      <c r="R17" s="398" t="s">
        <v>167</v>
      </c>
      <c r="S17" s="644">
        <f>H18</f>
        <v>67710.838084106115</v>
      </c>
      <c r="T17" s="644"/>
      <c r="U17" s="644"/>
    </row>
    <row r="18" spans="2:21">
      <c r="B18" s="382" t="s">
        <v>167</v>
      </c>
      <c r="C18" s="626">
        <f>'Forecast FCFF'!C25</f>
        <v>67710.838084106115</v>
      </c>
      <c r="D18" s="627"/>
      <c r="E18" s="628"/>
      <c r="F18" s="259"/>
      <c r="G18" s="398" t="s">
        <v>167</v>
      </c>
      <c r="H18" s="641">
        <f>C18</f>
        <v>67710.838084106115</v>
      </c>
      <c r="I18" s="641"/>
      <c r="J18" s="641"/>
      <c r="M18" s="402" t="s">
        <v>168</v>
      </c>
      <c r="N18" s="641">
        <f>C19</f>
        <v>33761.760227212697</v>
      </c>
      <c r="O18" s="641"/>
      <c r="P18" s="641"/>
      <c r="R18" s="398" t="s">
        <v>169</v>
      </c>
      <c r="S18" s="644">
        <f>H19</f>
        <v>142294.14176115577</v>
      </c>
      <c r="T18" s="644"/>
      <c r="U18" s="644"/>
    </row>
    <row r="19" spans="2:21">
      <c r="B19" s="399" t="s">
        <v>168</v>
      </c>
      <c r="C19" s="632">
        <f>Forecast!O11</f>
        <v>33761.760227212697</v>
      </c>
      <c r="D19" s="633"/>
      <c r="E19" s="634"/>
      <c r="F19" s="259"/>
      <c r="G19" s="398" t="s">
        <v>169</v>
      </c>
      <c r="H19" s="641">
        <f>Forecast!O3+Forecast!O5</f>
        <v>142294.14176115577</v>
      </c>
      <c r="I19" s="641"/>
      <c r="J19" s="641"/>
      <c r="M19" s="402" t="s">
        <v>170</v>
      </c>
      <c r="N19" s="644">
        <f>C11</f>
        <v>9.5570119114151169</v>
      </c>
      <c r="O19" s="644"/>
      <c r="P19" s="644"/>
      <c r="R19" s="398" t="s">
        <v>171</v>
      </c>
      <c r="S19" s="644">
        <f>E11</f>
        <v>0.8697471072442664</v>
      </c>
      <c r="T19" s="644"/>
      <c r="U19" s="644"/>
    </row>
    <row r="20" spans="2:21">
      <c r="B20" s="399" t="s">
        <v>170</v>
      </c>
      <c r="C20" s="635">
        <f>C10</f>
        <v>9.625</v>
      </c>
      <c r="D20" s="636"/>
      <c r="E20" s="637"/>
      <c r="F20" s="259"/>
      <c r="G20" s="398" t="s">
        <v>171</v>
      </c>
      <c r="H20" s="644">
        <f>E10</f>
        <v>1.46</v>
      </c>
      <c r="I20" s="644"/>
      <c r="J20" s="644"/>
      <c r="M20" s="402" t="s">
        <v>106</v>
      </c>
      <c r="N20" s="641">
        <f>N18*N19</f>
        <v>322661.54464181291</v>
      </c>
      <c r="O20" s="641"/>
      <c r="P20" s="641"/>
      <c r="R20" s="398" t="s">
        <v>106</v>
      </c>
      <c r="S20" s="641">
        <f>S18*S19</f>
        <v>123759.91817457079</v>
      </c>
      <c r="T20" s="641"/>
      <c r="U20" s="641"/>
    </row>
    <row r="21" spans="2:21" ht="15" thickBot="1">
      <c r="B21" s="376" t="s">
        <v>106</v>
      </c>
      <c r="C21" s="638">
        <f>C19*C20</f>
        <v>324956.94218692218</v>
      </c>
      <c r="D21" s="639"/>
      <c r="E21" s="640"/>
      <c r="F21" s="259"/>
      <c r="G21" s="398" t="s">
        <v>106</v>
      </c>
      <c r="H21" s="641">
        <f>H19+H18</f>
        <v>210004.9798452619</v>
      </c>
      <c r="I21" s="641"/>
      <c r="J21" s="641"/>
      <c r="M21" s="405" t="s">
        <v>87</v>
      </c>
      <c r="N21" s="652">
        <f>(N17+N20)*1000</f>
        <v>390372382.72591901</v>
      </c>
      <c r="O21" s="652"/>
      <c r="P21" s="652"/>
      <c r="R21" s="401" t="s">
        <v>172</v>
      </c>
      <c r="S21" s="647">
        <f>(S20+S17)*1000</f>
        <v>191470756.25867692</v>
      </c>
      <c r="T21" s="647"/>
      <c r="U21" s="647"/>
    </row>
    <row r="22" spans="2:21" ht="15" thickBot="1">
      <c r="B22" s="400" t="s">
        <v>87</v>
      </c>
      <c r="C22" s="623">
        <f>(C21+C18)*1000</f>
        <v>392667780.27102828</v>
      </c>
      <c r="D22" s="624"/>
      <c r="E22" s="625"/>
      <c r="F22" s="259"/>
      <c r="G22" s="407" t="s">
        <v>87</v>
      </c>
      <c r="H22" s="645">
        <f>(H21+H18)*1000</f>
        <v>277715817.92936802</v>
      </c>
      <c r="I22" s="645"/>
      <c r="J22" s="645"/>
      <c r="M22" s="406" t="s">
        <v>88</v>
      </c>
      <c r="N22" s="646">
        <f>H23</f>
        <v>101033880</v>
      </c>
      <c r="O22" s="646"/>
      <c r="P22" s="646"/>
      <c r="R22" s="398" t="s">
        <v>88</v>
      </c>
      <c r="S22" s="641">
        <f>H44</f>
        <v>101033880</v>
      </c>
      <c r="T22" s="641"/>
      <c r="U22" s="641"/>
    </row>
    <row r="23" spans="2:21" ht="15" thickBot="1">
      <c r="B23" s="382" t="s">
        <v>88</v>
      </c>
      <c r="C23" s="626">
        <f>'Forecast FCFF'!C28</f>
        <v>101033880</v>
      </c>
      <c r="D23" s="627"/>
      <c r="E23" s="628"/>
      <c r="F23" s="259"/>
      <c r="G23" s="408" t="s">
        <v>88</v>
      </c>
      <c r="H23" s="646">
        <f>C33</f>
        <v>101033880</v>
      </c>
      <c r="I23" s="646"/>
      <c r="J23" s="646"/>
      <c r="M23" s="405" t="s">
        <v>173</v>
      </c>
      <c r="N23" s="652">
        <f>N21-N22</f>
        <v>289338502.72591901</v>
      </c>
      <c r="O23" s="652"/>
      <c r="P23" s="652"/>
      <c r="R23" s="401" t="s">
        <v>173</v>
      </c>
      <c r="S23" s="647">
        <f>S21-S22</f>
        <v>90436876.258676916</v>
      </c>
      <c r="T23" s="647"/>
      <c r="U23" s="647"/>
    </row>
    <row r="24" spans="2:21" ht="15" thickBot="1">
      <c r="B24" s="400" t="s">
        <v>173</v>
      </c>
      <c r="C24" s="623">
        <f>C22-C23</f>
        <v>291633900.27102828</v>
      </c>
      <c r="D24" s="624"/>
      <c r="E24" s="625"/>
      <c r="F24" s="259"/>
      <c r="G24" s="407" t="s">
        <v>173</v>
      </c>
      <c r="H24" s="645">
        <f>H22-H23</f>
        <v>176681937.92936802</v>
      </c>
      <c r="I24" s="645"/>
      <c r="J24" s="645"/>
    </row>
    <row r="25" spans="2:21">
      <c r="B25" s="259"/>
      <c r="C25" s="259"/>
      <c r="D25" s="259"/>
      <c r="E25" s="259"/>
      <c r="F25" s="259"/>
      <c r="G25" s="259"/>
      <c r="H25" s="259"/>
      <c r="I25" s="259"/>
      <c r="J25" s="259"/>
    </row>
    <row r="26" spans="2:21">
      <c r="B26" s="259"/>
      <c r="C26" s="259"/>
      <c r="D26" s="259"/>
      <c r="E26" s="259"/>
      <c r="F26" s="259"/>
      <c r="G26" s="259"/>
      <c r="H26" s="259"/>
      <c r="I26" s="259"/>
      <c r="J26" s="259"/>
    </row>
    <row r="27" spans="2:21">
      <c r="B27" s="649" t="s">
        <v>174</v>
      </c>
      <c r="C27" s="649"/>
      <c r="D27" s="649"/>
      <c r="E27" s="649"/>
      <c r="F27" s="259"/>
      <c r="G27" s="259"/>
      <c r="H27" s="259"/>
      <c r="I27" s="259"/>
      <c r="J27" s="259"/>
    </row>
    <row r="28" spans="2:21">
      <c r="B28" s="398" t="s">
        <v>167</v>
      </c>
      <c r="C28" s="641">
        <f>C18</f>
        <v>67710.838084106115</v>
      </c>
      <c r="D28" s="641"/>
      <c r="E28" s="641"/>
      <c r="F28" s="259"/>
      <c r="G28" s="259"/>
      <c r="H28" s="259"/>
      <c r="I28" s="259"/>
      <c r="J28" s="259"/>
      <c r="M28" s="398" t="s">
        <v>167</v>
      </c>
      <c r="N28" s="641">
        <f>C50</f>
        <v>67710.838084106115</v>
      </c>
      <c r="O28" s="641"/>
      <c r="P28" s="641"/>
    </row>
    <row r="29" spans="2:21">
      <c r="B29" s="398" t="s">
        <v>175</v>
      </c>
      <c r="C29" s="641">
        <f>Forecast!O14</f>
        <v>24220.370100303135</v>
      </c>
      <c r="D29" s="641"/>
      <c r="E29" s="641"/>
      <c r="F29" s="259"/>
      <c r="G29" s="259"/>
      <c r="H29" s="259"/>
      <c r="I29" s="259"/>
      <c r="J29" s="259"/>
      <c r="M29" s="398" t="s">
        <v>175</v>
      </c>
      <c r="N29" s="641">
        <f>C51</f>
        <v>24220.370100303135</v>
      </c>
      <c r="O29" s="641"/>
      <c r="P29" s="641"/>
    </row>
    <row r="30" spans="2:21">
      <c r="B30" s="398" t="s">
        <v>176</v>
      </c>
      <c r="C30" s="644">
        <f>D10</f>
        <v>15.647488358268106</v>
      </c>
      <c r="D30" s="644"/>
      <c r="E30" s="644"/>
      <c r="F30" s="259"/>
      <c r="G30" s="259"/>
      <c r="H30" s="259"/>
      <c r="I30" s="259"/>
      <c r="J30" s="259"/>
      <c r="M30" s="398" t="s">
        <v>177</v>
      </c>
      <c r="N30" s="644">
        <f>D11</f>
        <v>14.591232024519799</v>
      </c>
      <c r="O30" s="644"/>
      <c r="P30" s="644"/>
    </row>
    <row r="31" spans="2:21">
      <c r="B31" s="398" t="s">
        <v>106</v>
      </c>
      <c r="C31" s="644">
        <f>C29*C30</f>
        <v>378987.95917743823</v>
      </c>
      <c r="D31" s="644"/>
      <c r="E31" s="644"/>
      <c r="F31" s="259"/>
      <c r="G31" s="259"/>
      <c r="H31" s="259"/>
      <c r="I31" s="259"/>
      <c r="J31" s="259"/>
      <c r="M31" s="398" t="s">
        <v>106</v>
      </c>
      <c r="N31" s="641">
        <f>N29*N30</f>
        <v>353405.03985326493</v>
      </c>
      <c r="O31" s="641"/>
      <c r="P31" s="641"/>
    </row>
    <row r="32" spans="2:21" ht="15" thickBot="1">
      <c r="B32" s="401" t="s">
        <v>87</v>
      </c>
      <c r="C32" s="647">
        <f>(C28+C31)*1000</f>
        <v>446698797.26154435</v>
      </c>
      <c r="D32" s="647"/>
      <c r="E32" s="647"/>
      <c r="F32" s="259"/>
      <c r="G32" s="259"/>
      <c r="H32" s="259"/>
      <c r="I32" s="259"/>
      <c r="J32" s="259"/>
      <c r="M32" s="407" t="s">
        <v>87</v>
      </c>
      <c r="N32" s="645">
        <f>(N31+N28)*1000</f>
        <v>421115877.93737102</v>
      </c>
      <c r="O32" s="645"/>
      <c r="P32" s="645"/>
    </row>
    <row r="33" spans="2:16">
      <c r="B33" s="398" t="s">
        <v>88</v>
      </c>
      <c r="C33" s="641">
        <f>C23</f>
        <v>101033880</v>
      </c>
      <c r="D33" s="641"/>
      <c r="E33" s="641"/>
      <c r="F33" s="259"/>
      <c r="G33" s="259"/>
      <c r="H33" s="259"/>
      <c r="I33" s="259"/>
      <c r="J33" s="259"/>
      <c r="M33" s="408" t="s">
        <v>88</v>
      </c>
      <c r="N33" s="646">
        <f>C55</f>
        <v>101033880</v>
      </c>
      <c r="O33" s="646"/>
      <c r="P33" s="646"/>
    </row>
    <row r="34" spans="2:16" ht="15" thickBot="1">
      <c r="B34" s="401" t="s">
        <v>173</v>
      </c>
      <c r="C34" s="647">
        <f>C32-C33</f>
        <v>345664917.26154435</v>
      </c>
      <c r="D34" s="647"/>
      <c r="E34" s="647"/>
      <c r="F34" s="259"/>
      <c r="G34" s="259"/>
      <c r="H34" s="259"/>
      <c r="I34" s="259"/>
      <c r="J34" s="259"/>
      <c r="M34" s="407" t="s">
        <v>178</v>
      </c>
      <c r="N34" s="645">
        <f>N32-N33</f>
        <v>320081997.93737102</v>
      </c>
      <c r="O34" s="645"/>
      <c r="P34" s="645"/>
    </row>
    <row r="35" spans="2:16">
      <c r="B35" s="259"/>
      <c r="C35" s="259"/>
      <c r="D35" s="259"/>
      <c r="E35" s="259"/>
      <c r="F35" s="259"/>
      <c r="G35" s="259"/>
      <c r="H35" s="259"/>
      <c r="I35" s="259"/>
      <c r="J35" s="259"/>
    </row>
    <row r="36" spans="2:16">
      <c r="B36" s="259"/>
      <c r="C36" s="259"/>
      <c r="D36" s="259"/>
      <c r="E36" s="259"/>
      <c r="F36" s="259"/>
      <c r="G36" s="259"/>
      <c r="H36" s="259"/>
      <c r="I36" s="259"/>
      <c r="J36" s="259"/>
    </row>
    <row r="37" spans="2:16" ht="18">
      <c r="B37" s="404"/>
      <c r="C37" s="404"/>
      <c r="D37" s="404"/>
      <c r="E37" s="404"/>
      <c r="F37" s="404"/>
      <c r="G37" s="404"/>
      <c r="H37" s="404"/>
      <c r="I37" s="404"/>
      <c r="J37" s="404"/>
    </row>
    <row r="38" spans="2:16" ht="18">
      <c r="B38" s="643" t="s">
        <v>179</v>
      </c>
      <c r="C38" s="643"/>
      <c r="D38" s="643"/>
      <c r="E38" s="643"/>
      <c r="F38" s="643"/>
      <c r="G38" s="643"/>
      <c r="H38" s="643"/>
      <c r="I38" s="643"/>
      <c r="J38" s="643"/>
    </row>
    <row r="39" spans="2:16">
      <c r="B39" s="402" t="s">
        <v>167</v>
      </c>
      <c r="C39" s="641">
        <f>C28</f>
        <v>67710.838084106115</v>
      </c>
      <c r="D39" s="641"/>
      <c r="E39" s="641"/>
      <c r="F39" s="259"/>
      <c r="G39" s="398" t="s">
        <v>167</v>
      </c>
      <c r="H39" s="641">
        <f>H18</f>
        <v>67710.838084106115</v>
      </c>
      <c r="I39" s="641"/>
      <c r="J39" s="641"/>
    </row>
    <row r="40" spans="2:16">
      <c r="B40" s="402" t="s">
        <v>168</v>
      </c>
      <c r="C40" s="641">
        <f>C19</f>
        <v>33761.760227212697</v>
      </c>
      <c r="D40" s="641"/>
      <c r="E40" s="641"/>
      <c r="F40" s="259"/>
      <c r="G40" s="398" t="s">
        <v>169</v>
      </c>
      <c r="H40" s="641">
        <f>H19</f>
        <v>142294.14176115577</v>
      </c>
      <c r="I40" s="641"/>
      <c r="J40" s="641"/>
    </row>
    <row r="41" spans="2:16">
      <c r="B41" s="402" t="s">
        <v>170</v>
      </c>
      <c r="C41" s="641">
        <f>C9</f>
        <v>11.709999999999999</v>
      </c>
      <c r="D41" s="641"/>
      <c r="E41" s="641"/>
      <c r="F41" s="259"/>
      <c r="G41" s="398" t="s">
        <v>171</v>
      </c>
      <c r="H41" s="651">
        <f>E9</f>
        <v>1.224</v>
      </c>
      <c r="I41" s="651"/>
      <c r="J41" s="651"/>
    </row>
    <row r="42" spans="2:16">
      <c r="B42" s="402" t="s">
        <v>106</v>
      </c>
      <c r="C42" s="641">
        <f>C40*C41</f>
        <v>395350.21226066066</v>
      </c>
      <c r="D42" s="641"/>
      <c r="E42" s="641"/>
      <c r="F42" s="259"/>
      <c r="G42" s="398" t="s">
        <v>106</v>
      </c>
      <c r="H42" s="641">
        <f>H41*H40</f>
        <v>174168.02951565466</v>
      </c>
      <c r="I42" s="641"/>
      <c r="J42" s="641"/>
    </row>
    <row r="43" spans="2:16">
      <c r="B43" s="403" t="s">
        <v>87</v>
      </c>
      <c r="C43" s="647">
        <f>(C42+C39)*1000</f>
        <v>463061050.34476674</v>
      </c>
      <c r="D43" s="647"/>
      <c r="E43" s="647"/>
      <c r="F43" s="259"/>
      <c r="G43" s="401" t="s">
        <v>172</v>
      </c>
      <c r="H43" s="647">
        <f>(H42+H39)*1000</f>
        <v>241878867.59976077</v>
      </c>
      <c r="I43" s="647"/>
      <c r="J43" s="647"/>
    </row>
    <row r="44" spans="2:16">
      <c r="B44" s="402" t="s">
        <v>88</v>
      </c>
      <c r="C44" s="641">
        <f>C23</f>
        <v>101033880</v>
      </c>
      <c r="D44" s="641"/>
      <c r="E44" s="641"/>
      <c r="F44" s="259"/>
      <c r="G44" s="398" t="s">
        <v>88</v>
      </c>
      <c r="H44" s="641">
        <f>H23</f>
        <v>101033880</v>
      </c>
      <c r="I44" s="641"/>
      <c r="J44" s="641"/>
    </row>
    <row r="45" spans="2:16">
      <c r="B45" s="403" t="s">
        <v>173</v>
      </c>
      <c r="C45" s="647">
        <f>C43-C44</f>
        <v>362027170.34476674</v>
      </c>
      <c r="D45" s="647"/>
      <c r="E45" s="647"/>
      <c r="F45" s="259"/>
      <c r="G45" s="401" t="s">
        <v>173</v>
      </c>
      <c r="H45" s="647">
        <f>H43-H44</f>
        <v>140844987.59976077</v>
      </c>
      <c r="I45" s="647"/>
      <c r="J45" s="647"/>
    </row>
    <row r="46" spans="2:16">
      <c r="B46" s="259"/>
      <c r="C46" s="259"/>
      <c r="D46" s="259"/>
      <c r="E46" s="259"/>
      <c r="F46" s="259"/>
      <c r="G46" s="259"/>
      <c r="H46" s="259"/>
      <c r="I46" s="259"/>
      <c r="J46" s="259"/>
    </row>
    <row r="47" spans="2:16">
      <c r="B47" s="259"/>
      <c r="C47" s="259"/>
      <c r="D47" s="259"/>
      <c r="E47" s="259"/>
      <c r="F47" s="259"/>
      <c r="G47" s="259"/>
      <c r="H47" s="259"/>
      <c r="I47" s="259"/>
      <c r="J47" s="259"/>
    </row>
    <row r="48" spans="2:16">
      <c r="B48" s="259"/>
      <c r="C48" s="259"/>
      <c r="D48" s="259"/>
      <c r="E48" s="259"/>
      <c r="F48" s="259"/>
      <c r="G48" s="259"/>
      <c r="H48" s="259"/>
      <c r="I48" s="259"/>
      <c r="J48" s="259"/>
    </row>
    <row r="49" spans="2:10">
      <c r="B49" s="259"/>
      <c r="C49" s="260"/>
      <c r="D49" s="260"/>
      <c r="E49" s="260"/>
      <c r="F49" s="259"/>
      <c r="G49" s="259"/>
      <c r="H49" s="259"/>
      <c r="I49" s="259"/>
      <c r="J49" s="259"/>
    </row>
    <row r="50" spans="2:10">
      <c r="B50" s="398" t="s">
        <v>167</v>
      </c>
      <c r="C50" s="641">
        <f>C18</f>
        <v>67710.838084106115</v>
      </c>
      <c r="D50" s="641"/>
      <c r="E50" s="641"/>
      <c r="F50" s="259"/>
      <c r="G50" s="259"/>
      <c r="H50" s="259"/>
      <c r="I50" s="259"/>
      <c r="J50" s="259"/>
    </row>
    <row r="51" spans="2:10">
      <c r="B51" s="398" t="s">
        <v>175</v>
      </c>
      <c r="C51" s="641">
        <f>C29</f>
        <v>24220.370100303135</v>
      </c>
      <c r="D51" s="641"/>
      <c r="E51" s="641"/>
      <c r="F51" s="259"/>
      <c r="G51" s="259"/>
      <c r="H51" s="259"/>
      <c r="I51" s="259"/>
      <c r="J51" s="259"/>
    </row>
    <row r="52" spans="2:10">
      <c r="B52" s="398" t="s">
        <v>180</v>
      </c>
      <c r="C52" s="644">
        <f>D9</f>
        <v>25.21765271590812</v>
      </c>
      <c r="D52" s="644"/>
      <c r="E52" s="644"/>
      <c r="F52" s="259"/>
      <c r="G52" s="259"/>
      <c r="H52" s="259"/>
      <c r="I52" s="259"/>
      <c r="J52" s="259"/>
    </row>
    <row r="53" spans="2:10">
      <c r="B53" s="398" t="s">
        <v>106</v>
      </c>
      <c r="C53" s="641">
        <f>C51*C52</f>
        <v>610780.88184020913</v>
      </c>
      <c r="D53" s="641"/>
      <c r="E53" s="641"/>
      <c r="F53" s="259"/>
      <c r="G53" s="259"/>
      <c r="H53" s="259"/>
      <c r="I53" s="259"/>
      <c r="J53" s="259"/>
    </row>
    <row r="54" spans="2:10">
      <c r="B54" s="401" t="s">
        <v>87</v>
      </c>
      <c r="C54" s="647">
        <f>(C53+C50)*1000</f>
        <v>678491719.92431521</v>
      </c>
      <c r="D54" s="647"/>
      <c r="E54" s="647"/>
      <c r="F54" s="259"/>
      <c r="G54" s="259"/>
      <c r="H54" s="259"/>
      <c r="I54" s="259"/>
      <c r="J54" s="259"/>
    </row>
    <row r="55" spans="2:10">
      <c r="B55" s="398" t="s">
        <v>88</v>
      </c>
      <c r="C55" s="641">
        <f>C44</f>
        <v>101033880</v>
      </c>
      <c r="D55" s="641"/>
      <c r="E55" s="641"/>
      <c r="F55" s="259"/>
      <c r="G55" s="259"/>
      <c r="H55" s="259"/>
      <c r="I55" s="259"/>
      <c r="J55" s="259"/>
    </row>
    <row r="56" spans="2:10">
      <c r="B56" s="401" t="s">
        <v>178</v>
      </c>
      <c r="C56" s="647">
        <f>C54-C55</f>
        <v>577457839.92431521</v>
      </c>
      <c r="D56" s="647"/>
      <c r="E56" s="647"/>
      <c r="F56" s="259"/>
      <c r="G56" s="259"/>
      <c r="H56" s="259"/>
      <c r="I56" s="259"/>
      <c r="J56" s="259"/>
    </row>
    <row r="57" spans="2:10">
      <c r="B57" s="259"/>
      <c r="C57" s="259"/>
      <c r="D57" s="259"/>
      <c r="E57" s="259"/>
      <c r="F57" s="259"/>
      <c r="G57" s="259"/>
      <c r="H57" s="259"/>
      <c r="I57" s="259"/>
      <c r="J57" s="259"/>
    </row>
    <row r="58" spans="2:10">
      <c r="B58" s="259"/>
      <c r="C58" s="259"/>
      <c r="D58" s="259"/>
      <c r="E58" s="259"/>
      <c r="F58" s="259"/>
      <c r="G58" s="259"/>
      <c r="H58" s="259"/>
      <c r="I58" s="259"/>
      <c r="J58" s="259"/>
    </row>
    <row r="59" spans="2:10">
      <c r="B59" s="259"/>
      <c r="C59" s="259"/>
      <c r="D59" s="259"/>
      <c r="E59" s="259"/>
      <c r="F59" s="259"/>
      <c r="G59" s="259"/>
      <c r="H59" s="259"/>
      <c r="I59" s="259"/>
      <c r="J59" s="259"/>
    </row>
    <row r="60" spans="2:10">
      <c r="B60" s="259"/>
      <c r="C60" s="259"/>
      <c r="D60" s="259"/>
      <c r="E60" s="259"/>
      <c r="F60" s="259"/>
      <c r="G60" s="259"/>
      <c r="H60" s="259"/>
      <c r="I60" s="259"/>
      <c r="J60" s="259"/>
    </row>
    <row r="61" spans="2:10">
      <c r="B61" s="409" t="s">
        <v>181</v>
      </c>
      <c r="C61" s="352"/>
      <c r="D61" s="410" t="s">
        <v>158</v>
      </c>
      <c r="E61" s="410" t="s">
        <v>159</v>
      </c>
      <c r="F61" s="411" t="s">
        <v>182</v>
      </c>
      <c r="G61" s="259"/>
      <c r="H61" s="259"/>
      <c r="I61" s="259"/>
      <c r="J61" s="259"/>
    </row>
    <row r="62" spans="2:10">
      <c r="B62" s="658" t="s">
        <v>134</v>
      </c>
      <c r="C62" s="659"/>
      <c r="D62" s="390">
        <f>C24</f>
        <v>291633900.27102828</v>
      </c>
      <c r="E62" s="390">
        <f>C34</f>
        <v>345664917.26154435</v>
      </c>
      <c r="F62" s="386">
        <f>H24</f>
        <v>176681937.92936802</v>
      </c>
      <c r="G62" s="259"/>
      <c r="H62" s="259"/>
      <c r="I62" s="259"/>
      <c r="J62" s="259"/>
    </row>
    <row r="63" spans="2:10">
      <c r="B63" s="656" t="s">
        <v>7</v>
      </c>
      <c r="C63" s="657"/>
      <c r="D63" s="412">
        <f>C45</f>
        <v>362027170.34476674</v>
      </c>
      <c r="E63" s="412">
        <f>C56</f>
        <v>577457839.92431521</v>
      </c>
      <c r="F63" s="413">
        <f>H45</f>
        <v>140844987.59976077</v>
      </c>
    </row>
    <row r="64" spans="2:10">
      <c r="B64" s="654" t="s">
        <v>163</v>
      </c>
      <c r="C64" s="655"/>
      <c r="D64" s="390">
        <f>N23</f>
        <v>289338502.72591901</v>
      </c>
      <c r="E64" s="390">
        <f>N34</f>
        <v>320081997.93737102</v>
      </c>
      <c r="F64" s="386">
        <f>S23</f>
        <v>90436876.258676916</v>
      </c>
    </row>
    <row r="67" spans="3:6">
      <c r="C67" s="260"/>
    </row>
    <row r="68" spans="3:6">
      <c r="C68" s="260"/>
    </row>
    <row r="69" spans="3:6">
      <c r="C69" s="260"/>
    </row>
    <row r="70" spans="3:6">
      <c r="F70" s="260"/>
    </row>
  </sheetData>
  <mergeCells count="76">
    <mergeCell ref="N28:P28"/>
    <mergeCell ref="M15:U16"/>
    <mergeCell ref="S23:U23"/>
    <mergeCell ref="B64:C64"/>
    <mergeCell ref="B63:C63"/>
    <mergeCell ref="B62:C62"/>
    <mergeCell ref="S17:U17"/>
    <mergeCell ref="S18:U18"/>
    <mergeCell ref="S19:U19"/>
    <mergeCell ref="S20:U20"/>
    <mergeCell ref="S21:U21"/>
    <mergeCell ref="S22:U22"/>
    <mergeCell ref="N32:P32"/>
    <mergeCell ref="N33:P33"/>
    <mergeCell ref="N34:P34"/>
    <mergeCell ref="N20:P20"/>
    <mergeCell ref="N29:P29"/>
    <mergeCell ref="N30:P30"/>
    <mergeCell ref="N31:P31"/>
    <mergeCell ref="C53:E53"/>
    <mergeCell ref="H42:J42"/>
    <mergeCell ref="H43:J43"/>
    <mergeCell ref="H44:J44"/>
    <mergeCell ref="H45:J45"/>
    <mergeCell ref="C29:E29"/>
    <mergeCell ref="C30:E30"/>
    <mergeCell ref="C31:E31"/>
    <mergeCell ref="C32:E32"/>
    <mergeCell ref="C56:E56"/>
    <mergeCell ref="C55:E55"/>
    <mergeCell ref="C54:E54"/>
    <mergeCell ref="B14:J15"/>
    <mergeCell ref="C50:E50"/>
    <mergeCell ref="C51:E51"/>
    <mergeCell ref="C52:E52"/>
    <mergeCell ref="H39:J39"/>
    <mergeCell ref="H40:J40"/>
    <mergeCell ref="H41:J41"/>
    <mergeCell ref="C40:E40"/>
    <mergeCell ref="C41:E41"/>
    <mergeCell ref="C42:E42"/>
    <mergeCell ref="C43:E43"/>
    <mergeCell ref="C44:E44"/>
    <mergeCell ref="C45:E45"/>
    <mergeCell ref="B38:J38"/>
    <mergeCell ref="C39:E39"/>
    <mergeCell ref="H18:J18"/>
    <mergeCell ref="H20:J20"/>
    <mergeCell ref="H19:J19"/>
    <mergeCell ref="H21:J21"/>
    <mergeCell ref="H24:J24"/>
    <mergeCell ref="H22:J22"/>
    <mergeCell ref="H23:J23"/>
    <mergeCell ref="C33:E33"/>
    <mergeCell ref="C34:E34"/>
    <mergeCell ref="B27:E27"/>
    <mergeCell ref="C28:E28"/>
    <mergeCell ref="C24:E24"/>
    <mergeCell ref="B17:E17"/>
    <mergeCell ref="C18:E18"/>
    <mergeCell ref="C19:E19"/>
    <mergeCell ref="C20:E20"/>
    <mergeCell ref="C21:E21"/>
    <mergeCell ref="G3:H3"/>
    <mergeCell ref="J3:K3"/>
    <mergeCell ref="G2:N2"/>
    <mergeCell ref="C22:E22"/>
    <mergeCell ref="C23:E23"/>
    <mergeCell ref="N17:P17"/>
    <mergeCell ref="B16:J16"/>
    <mergeCell ref="G17:J17"/>
    <mergeCell ref="N22:P22"/>
    <mergeCell ref="N23:P23"/>
    <mergeCell ref="N18:P18"/>
    <mergeCell ref="N19:P19"/>
    <mergeCell ref="N21:P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605E1-6EF0-F14B-B60E-44C0B6310F3B}">
  <dimension ref="A1:L21"/>
  <sheetViews>
    <sheetView tabSelected="1" workbookViewId="0">
      <selection activeCell="K29" sqref="K29"/>
    </sheetView>
  </sheetViews>
  <sheetFormatPr defaultColWidth="8.77734375" defaultRowHeight="14.4"/>
  <cols>
    <col min="1" max="1" width="31.109375" bestFit="1" customWidth="1"/>
    <col min="2" max="2" width="13.44140625" bestFit="1" customWidth="1"/>
    <col min="8" max="8" width="12.6640625" bestFit="1" customWidth="1"/>
    <col min="9" max="9" width="15.109375" bestFit="1" customWidth="1"/>
    <col min="10" max="10" width="12.33203125" bestFit="1" customWidth="1"/>
    <col min="11" max="12" width="17.109375" bestFit="1" customWidth="1"/>
  </cols>
  <sheetData>
    <row r="1" spans="1:12">
      <c r="A1" s="351"/>
      <c r="B1" s="426">
        <v>2016</v>
      </c>
      <c r="C1" s="426">
        <v>2017</v>
      </c>
      <c r="D1" s="426">
        <v>2018</v>
      </c>
      <c r="E1" s="426">
        <v>2019</v>
      </c>
      <c r="F1" s="426">
        <v>2020</v>
      </c>
      <c r="G1" s="426">
        <v>2021</v>
      </c>
      <c r="H1" s="358">
        <v>2022</v>
      </c>
      <c r="I1" s="432" t="s">
        <v>183</v>
      </c>
      <c r="J1" s="432" t="s">
        <v>184</v>
      </c>
      <c r="K1" s="432" t="s">
        <v>185</v>
      </c>
      <c r="L1" s="432" t="s">
        <v>186</v>
      </c>
    </row>
    <row r="2" spans="1:12">
      <c r="A2" s="290" t="s">
        <v>187</v>
      </c>
      <c r="B2" s="415">
        <v>1.3299999999999999E-2</v>
      </c>
      <c r="C2" s="415">
        <v>1.66E-2</v>
      </c>
      <c r="D2" s="415">
        <v>1.9599999999999999E-2</v>
      </c>
      <c r="E2" s="415">
        <v>6.8999999999999999E-3</v>
      </c>
      <c r="F2" s="415">
        <v>1.495E-2</v>
      </c>
      <c r="G2" s="415">
        <v>1.7000000000000001E-2</v>
      </c>
      <c r="H2" s="428">
        <v>3.5000000000000003E-2</v>
      </c>
      <c r="I2" s="443">
        <f>'KVM før iterasjon'!C3</f>
        <v>3.5000000000000003E-2</v>
      </c>
      <c r="J2" s="436">
        <f>_xlfn.VAR.S(B2:H2)</f>
        <v>7.4686547619047571E-5</v>
      </c>
      <c r="K2" s="436">
        <f>SQRT(J2)</f>
        <v>8.6421379078933692E-3</v>
      </c>
      <c r="L2" s="438"/>
    </row>
    <row r="3" spans="1:12">
      <c r="A3" s="289"/>
      <c r="B3" s="232"/>
      <c r="C3" s="232"/>
      <c r="D3" s="232"/>
      <c r="E3" s="232"/>
      <c r="F3" s="232"/>
      <c r="G3" s="232"/>
      <c r="H3" s="361"/>
      <c r="I3" s="433"/>
      <c r="J3" s="431"/>
      <c r="K3" s="431"/>
      <c r="L3" s="433"/>
    </row>
    <row r="4" spans="1:12">
      <c r="A4" s="289" t="s">
        <v>188</v>
      </c>
      <c r="B4" s="232">
        <f>'Reformulering '!C5+'Reformulering '!C7</f>
        <v>65776</v>
      </c>
      <c r="C4" s="232">
        <f>'Reformulering '!D5+'Reformulering '!D7</f>
        <v>70207</v>
      </c>
      <c r="D4" s="232">
        <f>'Reformulering '!E5+'Reformulering '!E7</f>
        <v>63588</v>
      </c>
      <c r="E4" s="232">
        <f>'Reformulering '!F5+'Reformulering '!F7</f>
        <v>72391</v>
      </c>
      <c r="F4" s="232">
        <f>'Reformulering '!G5+'Reformulering '!G7</f>
        <v>74393</v>
      </c>
      <c r="G4" s="232">
        <f>'Reformulering '!H5+'Reformulering '!H7</f>
        <v>92889</v>
      </c>
      <c r="H4" s="371">
        <f>'Reformulering '!I5+'Reformulering '!I7</f>
        <v>129126.02900000001</v>
      </c>
      <c r="I4" s="433"/>
      <c r="J4" s="431"/>
      <c r="K4" s="431"/>
      <c r="L4" s="433"/>
    </row>
    <row r="5" spans="1:12">
      <c r="A5" s="356" t="s">
        <v>189</v>
      </c>
      <c r="B5" s="444"/>
      <c r="C5" s="444">
        <f>C4/B4-1</f>
        <v>6.7364996351252815E-2</v>
      </c>
      <c r="D5" s="444">
        <f t="shared" ref="D5:H5" si="0">D4/C4-1</f>
        <v>-9.4278348312846316E-2</v>
      </c>
      <c r="E5" s="444">
        <f t="shared" si="0"/>
        <v>0.13843807007611497</v>
      </c>
      <c r="F5" s="444">
        <f t="shared" si="0"/>
        <v>2.7655371524084593E-2</v>
      </c>
      <c r="G5" s="444">
        <f t="shared" si="0"/>
        <v>0.24862554272579418</v>
      </c>
      <c r="H5" s="445">
        <f t="shared" si="0"/>
        <v>0.3901110895800366</v>
      </c>
      <c r="I5" s="435">
        <f>Forecast!O4</f>
        <v>0.02</v>
      </c>
      <c r="J5" s="430">
        <f>_xlfn.VAR.S(C5:H5)</f>
        <v>2.929972403535196E-2</v>
      </c>
      <c r="K5" s="430">
        <f>SQRT(J5)</f>
        <v>0.17117162158299476</v>
      </c>
      <c r="L5" s="429"/>
    </row>
    <row r="6" spans="1:12">
      <c r="A6" s="356" t="s">
        <v>190</v>
      </c>
      <c r="B6" s="375"/>
      <c r="C6" s="446">
        <f>Forecast!D10/(Forecast!D3+Forecast!D5)</f>
        <v>0.23158659392938027</v>
      </c>
      <c r="D6" s="446">
        <f>Forecast!E10/(Forecast!E3+Forecast!E5)</f>
        <v>0.25380574951248663</v>
      </c>
      <c r="E6" s="446">
        <f>Forecast!F10/(Forecast!F3+Forecast!F5)</f>
        <v>0.25653741487201448</v>
      </c>
      <c r="F6" s="446">
        <f>Forecast!G10/(Forecast!G3+Forecast!G5)</f>
        <v>0.19754546798757947</v>
      </c>
      <c r="G6" s="446">
        <f>Forecast!H10/(Forecast!H3+Forecast!H5)</f>
        <v>0.30561207462670498</v>
      </c>
      <c r="H6" s="447">
        <f>Forecast!I10/(Forecast!I3+Forecast!I5)</f>
        <v>0.34587391361659542</v>
      </c>
      <c r="I6" s="435">
        <f>Forecast!J66</f>
        <v>0.22909116370068214</v>
      </c>
      <c r="J6" s="430">
        <f>_xlfn.VAR.S(C6:H6)</f>
        <v>2.8106545411059614E-3</v>
      </c>
      <c r="K6" s="430">
        <f>SQRT(J6)</f>
        <v>5.3015606580571736E-2</v>
      </c>
      <c r="L6" s="429"/>
    </row>
    <row r="7" spans="1:12">
      <c r="A7" s="288" t="s">
        <v>191</v>
      </c>
      <c r="B7" s="365"/>
      <c r="C7" s="365"/>
      <c r="D7" s="365"/>
      <c r="E7" s="365"/>
      <c r="F7" s="365"/>
      <c r="G7" s="365"/>
      <c r="H7" s="427"/>
      <c r="I7" s="441">
        <f>'KVM før iterasjon'!C5</f>
        <v>5.4699999999999999E-2</v>
      </c>
      <c r="J7" s="442"/>
      <c r="K7" s="442"/>
      <c r="L7" s="62" t="s">
        <v>192</v>
      </c>
    </row>
    <row r="8" spans="1:12">
      <c r="A8" s="290" t="s">
        <v>193</v>
      </c>
      <c r="B8" s="362"/>
      <c r="C8" s="362"/>
      <c r="D8" s="362"/>
      <c r="E8" s="362"/>
      <c r="F8" s="362"/>
      <c r="G8" s="362"/>
      <c r="H8" s="384"/>
      <c r="I8" s="434">
        <f>Avkastningskrav1!G26</f>
        <v>0.62054525443066511</v>
      </c>
      <c r="J8" s="437">
        <f>Avkastningskrav1!I16</f>
        <v>0.17931973627468978</v>
      </c>
      <c r="K8" s="437">
        <f>Avkastningskrav1!I18</f>
        <v>0.4234616113353013</v>
      </c>
      <c r="L8" s="438" t="s">
        <v>194</v>
      </c>
    </row>
    <row r="14" spans="1:12">
      <c r="A14" s="439"/>
      <c r="B14" s="232"/>
      <c r="C14" s="232"/>
      <c r="D14" s="232"/>
      <c r="E14" s="232"/>
      <c r="F14" s="232"/>
      <c r="G14" s="232"/>
      <c r="H14" s="232"/>
      <c r="I14" s="425"/>
      <c r="J14" s="425"/>
      <c r="K14" s="232"/>
    </row>
    <row r="15" spans="1:12">
      <c r="A15" s="11"/>
      <c r="I15" s="1"/>
      <c r="J15" s="1"/>
    </row>
    <row r="16" spans="1:12">
      <c r="A16" s="11"/>
      <c r="I16" s="1"/>
      <c r="J16" s="1"/>
    </row>
    <row r="17" spans="1:10">
      <c r="A17" s="11"/>
      <c r="I17" s="1"/>
      <c r="J17" s="1"/>
    </row>
    <row r="18" spans="1:10">
      <c r="A18" s="11"/>
      <c r="I18" s="1"/>
      <c r="J18" s="1"/>
    </row>
    <row r="19" spans="1:10">
      <c r="A19" s="11"/>
      <c r="I19" s="1"/>
      <c r="J19" s="1"/>
    </row>
    <row r="20" spans="1:10">
      <c r="I20" s="1"/>
      <c r="J20" s="1"/>
    </row>
    <row r="21" spans="1:10">
      <c r="I21" s="1"/>
      <c r="J2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7479-7BA9-F34A-A5CD-2BD6AE626ACE}">
  <sheetPr codeName="Ark1"/>
  <dimension ref="A3:BL118"/>
  <sheetViews>
    <sheetView topLeftCell="B1" zoomScale="68" zoomScaleNormal="80" workbookViewId="0">
      <selection activeCell="L52" sqref="L52"/>
    </sheetView>
  </sheetViews>
  <sheetFormatPr defaultColWidth="11.44140625" defaultRowHeight="14.4"/>
  <cols>
    <col min="1" max="1" width="25.109375" bestFit="1" customWidth="1"/>
    <col min="2" max="2" width="27" bestFit="1" customWidth="1"/>
    <col min="3" max="3" width="17" bestFit="1" customWidth="1"/>
    <col min="4" max="8" width="11.6640625" bestFit="1" customWidth="1"/>
    <col min="9" max="9" width="11.77734375" bestFit="1" customWidth="1"/>
    <col min="10" max="10" width="38.33203125" bestFit="1" customWidth="1"/>
    <col min="11" max="11" width="14.6640625" bestFit="1" customWidth="1"/>
    <col min="18" max="18" width="27" bestFit="1" customWidth="1"/>
    <col min="26" max="26" width="41" bestFit="1" customWidth="1"/>
    <col min="34" max="34" width="38.33203125" bestFit="1" customWidth="1"/>
    <col min="42" max="42" width="38.33203125" bestFit="1" customWidth="1"/>
    <col min="50" max="50" width="38.33203125" bestFit="1" customWidth="1"/>
    <col min="58" max="58" width="38.33203125" bestFit="1" customWidth="1"/>
  </cols>
  <sheetData>
    <row r="3" spans="2:17" ht="15.6">
      <c r="B3" s="572" t="s">
        <v>217</v>
      </c>
      <c r="C3" s="572"/>
      <c r="D3" s="572"/>
      <c r="E3" s="572"/>
      <c r="F3" s="572"/>
      <c r="G3" s="572"/>
      <c r="H3" s="572"/>
      <c r="I3" s="74"/>
      <c r="J3" s="73"/>
      <c r="K3" s="72"/>
      <c r="L3" s="71"/>
      <c r="M3" s="71"/>
      <c r="N3" s="71"/>
      <c r="O3" s="71"/>
      <c r="P3" s="9">
        <v>2020</v>
      </c>
      <c r="Q3" s="9">
        <v>2021</v>
      </c>
    </row>
    <row r="4" spans="2:17">
      <c r="B4" s="12" t="s">
        <v>218</v>
      </c>
      <c r="C4" s="12">
        <v>2016</v>
      </c>
      <c r="D4" s="12">
        <v>2017</v>
      </c>
      <c r="E4" s="12">
        <v>2018</v>
      </c>
      <c r="F4" s="12">
        <v>2019</v>
      </c>
      <c r="G4" s="12">
        <v>2020</v>
      </c>
      <c r="H4" s="12">
        <v>2021</v>
      </c>
      <c r="I4" s="12">
        <v>2022</v>
      </c>
      <c r="K4" s="3" t="s">
        <v>219</v>
      </c>
      <c r="L4" s="3">
        <v>8062</v>
      </c>
      <c r="M4" s="3">
        <v>5306</v>
      </c>
      <c r="N4" s="3">
        <v>4515</v>
      </c>
      <c r="O4" s="3">
        <v>7488</v>
      </c>
      <c r="P4" s="3">
        <v>11220</v>
      </c>
      <c r="Q4" s="3">
        <v>2731</v>
      </c>
    </row>
    <row r="5" spans="2:17">
      <c r="B5" s="38" t="s">
        <v>220</v>
      </c>
      <c r="C5" s="38">
        <v>65528</v>
      </c>
      <c r="D5" s="38">
        <v>69625</v>
      </c>
      <c r="E5" s="38">
        <v>63393</v>
      </c>
      <c r="F5" s="38">
        <v>72213</v>
      </c>
      <c r="G5" s="38">
        <v>74004</v>
      </c>
      <c r="H5" s="38">
        <v>92311</v>
      </c>
      <c r="I5" s="66">
        <f>126596815/1000</f>
        <v>126596.815</v>
      </c>
      <c r="K5" s="3" t="s">
        <v>221</v>
      </c>
      <c r="L5" s="3">
        <f>2071</f>
        <v>2071</v>
      </c>
      <c r="M5" s="3">
        <f>1276</f>
        <v>1276</v>
      </c>
      <c r="N5" s="3">
        <v>996</v>
      </c>
      <c r="O5" s="3">
        <v>1654</v>
      </c>
      <c r="P5" s="3">
        <v>2471</v>
      </c>
      <c r="Q5" s="3">
        <v>601</v>
      </c>
    </row>
    <row r="6" spans="2:17">
      <c r="B6" s="38" t="s">
        <v>189</v>
      </c>
      <c r="C6" s="39">
        <f>0</f>
        <v>0</v>
      </c>
      <c r="D6" s="39">
        <f>(D5/C5)-1</f>
        <v>6.2522890977902534E-2</v>
      </c>
      <c r="E6" s="39">
        <f t="shared" ref="E6:H6" si="0">(E5/D5)-1</f>
        <v>-8.9508078994613993E-2</v>
      </c>
      <c r="F6" s="39">
        <f t="shared" si="0"/>
        <v>0.13913208082911366</v>
      </c>
      <c r="G6" s="39">
        <f t="shared" si="0"/>
        <v>2.4801628515641161E-2</v>
      </c>
      <c r="H6" s="39">
        <f t="shared" si="0"/>
        <v>0.24737852007999561</v>
      </c>
      <c r="I6" s="39">
        <f>(I5/H5)-1</f>
        <v>0.3714163534140027</v>
      </c>
      <c r="J6" s="39"/>
      <c r="K6" s="3" t="s">
        <v>222</v>
      </c>
      <c r="L6" s="10">
        <f>L5/L4</f>
        <v>0.2568841478541305</v>
      </c>
      <c r="M6" s="10">
        <f t="shared" ref="M6:Q6" si="1">M5/M4</f>
        <v>0.2404824726724463</v>
      </c>
      <c r="N6" s="10">
        <f t="shared" si="1"/>
        <v>0.22059800664451829</v>
      </c>
      <c r="O6" s="10">
        <f t="shared" si="1"/>
        <v>0.22088675213675213</v>
      </c>
      <c r="P6" s="10">
        <f t="shared" si="1"/>
        <v>0.22023172905525848</v>
      </c>
      <c r="Q6" s="10">
        <f t="shared" si="1"/>
        <v>0.2200659099231051</v>
      </c>
    </row>
    <row r="7" spans="2:17">
      <c r="B7" t="s">
        <v>223</v>
      </c>
      <c r="C7">
        <v>248</v>
      </c>
      <c r="D7">
        <v>582</v>
      </c>
      <c r="E7">
        <v>195</v>
      </c>
      <c r="F7">
        <v>178</v>
      </c>
      <c r="G7">
        <v>389</v>
      </c>
      <c r="H7">
        <v>578</v>
      </c>
      <c r="I7" s="22">
        <f>2529214/1000</f>
        <v>2529.2139999999999</v>
      </c>
    </row>
    <row r="8" spans="2:17">
      <c r="B8" t="s">
        <v>50</v>
      </c>
      <c r="C8">
        <v>15437</v>
      </c>
      <c r="D8">
        <v>17518</v>
      </c>
      <c r="E8">
        <v>13487</v>
      </c>
      <c r="F8">
        <v>17021</v>
      </c>
      <c r="G8">
        <v>18287</v>
      </c>
      <c r="H8">
        <v>24404</v>
      </c>
      <c r="I8" s="22">
        <f>31817906/1000</f>
        <v>31817.905999999999</v>
      </c>
    </row>
    <row r="9" spans="2:17">
      <c r="B9" s="31" t="s">
        <v>224</v>
      </c>
      <c r="C9" s="31">
        <f>C5+C7-C8</f>
        <v>50339</v>
      </c>
      <c r="D9" s="31">
        <f t="shared" ref="D9:H9" si="2">D5+D7-D8</f>
        <v>52689</v>
      </c>
      <c r="E9" s="31">
        <f t="shared" si="2"/>
        <v>50101</v>
      </c>
      <c r="F9" s="31">
        <f t="shared" si="2"/>
        <v>55370</v>
      </c>
      <c r="G9" s="31">
        <f t="shared" si="2"/>
        <v>56106</v>
      </c>
      <c r="H9" s="31">
        <f t="shared" si="2"/>
        <v>68485</v>
      </c>
      <c r="I9" s="68">
        <f>I5+I7-I8</f>
        <v>97308.123000000007</v>
      </c>
      <c r="K9" s="36" t="s">
        <v>220</v>
      </c>
      <c r="L9" s="36">
        <f t="shared" ref="L9:Q9" si="3">C5</f>
        <v>65528</v>
      </c>
      <c r="M9" s="36">
        <f t="shared" si="3"/>
        <v>69625</v>
      </c>
      <c r="N9" s="36">
        <f t="shared" si="3"/>
        <v>63393</v>
      </c>
      <c r="O9" s="36">
        <f t="shared" si="3"/>
        <v>72213</v>
      </c>
      <c r="P9" s="36">
        <f t="shared" si="3"/>
        <v>74004</v>
      </c>
      <c r="Q9" s="36">
        <f t="shared" si="3"/>
        <v>92311</v>
      </c>
    </row>
    <row r="10" spans="2:17">
      <c r="B10" s="33" t="s">
        <v>23</v>
      </c>
      <c r="C10" s="241">
        <f>(C9)/(C5+C7)</f>
        <v>0.76530953539284841</v>
      </c>
      <c r="D10" s="241">
        <f t="shared" ref="D10:I10" si="4">(D9)/(D5+D7)</f>
        <v>0.75048072129559729</v>
      </c>
      <c r="E10" s="241">
        <f t="shared" si="4"/>
        <v>0.78790023274831733</v>
      </c>
      <c r="F10" s="241">
        <f t="shared" si="4"/>
        <v>0.76487408655772127</v>
      </c>
      <c r="G10" s="241">
        <f t="shared" si="4"/>
        <v>0.75418386138480775</v>
      </c>
      <c r="H10" s="241">
        <f t="shared" si="4"/>
        <v>0.73727782622269589</v>
      </c>
      <c r="I10" s="241">
        <f t="shared" si="4"/>
        <v>0.75359030052724696</v>
      </c>
      <c r="K10" s="13" t="s">
        <v>225</v>
      </c>
      <c r="L10" s="37">
        <f>L9*0.02</f>
        <v>1310.56</v>
      </c>
      <c r="M10" s="37">
        <f t="shared" ref="M10:Q10" si="5">M9*0.02</f>
        <v>1392.5</v>
      </c>
      <c r="N10" s="37">
        <f t="shared" si="5"/>
        <v>1267.8600000000001</v>
      </c>
      <c r="O10" s="37">
        <f t="shared" si="5"/>
        <v>1444.26</v>
      </c>
      <c r="P10" s="37">
        <f t="shared" si="5"/>
        <v>1480.08</v>
      </c>
      <c r="Q10" s="37">
        <f t="shared" si="5"/>
        <v>1846.22</v>
      </c>
    </row>
    <row r="11" spans="2:17">
      <c r="B11" t="s">
        <v>226</v>
      </c>
      <c r="C11">
        <v>19888</v>
      </c>
      <c r="D11">
        <v>22638</v>
      </c>
      <c r="E11">
        <v>21228</v>
      </c>
      <c r="F11">
        <v>21402</v>
      </c>
      <c r="G11">
        <v>22580</v>
      </c>
      <c r="H11">
        <v>27992</v>
      </c>
      <c r="I11" s="1">
        <f>32071596/1000</f>
        <v>32071.596000000001</v>
      </c>
    </row>
    <row r="12" spans="2:17">
      <c r="B12" t="s">
        <v>227</v>
      </c>
      <c r="C12">
        <f>13260</f>
        <v>13260</v>
      </c>
      <c r="D12">
        <f>16259</f>
        <v>16259</v>
      </c>
      <c r="E12">
        <f>16139</f>
        <v>16139</v>
      </c>
      <c r="F12">
        <f>18571</f>
        <v>18571</v>
      </c>
      <c r="G12">
        <f>14696</f>
        <v>14696</v>
      </c>
      <c r="H12">
        <f>28388</f>
        <v>28388</v>
      </c>
      <c r="I12" s="1">
        <f>44661325/1000</f>
        <v>44661.324999999997</v>
      </c>
    </row>
    <row r="13" spans="2:17">
      <c r="B13" s="28" t="s">
        <v>162</v>
      </c>
      <c r="C13" s="28">
        <f>C9-C11-C12</f>
        <v>17191</v>
      </c>
      <c r="D13" s="28">
        <f>D9-D11-D12</f>
        <v>13792</v>
      </c>
      <c r="E13" s="28">
        <f t="shared" ref="E13:H13" si="6">E9-E11-E12</f>
        <v>12734</v>
      </c>
      <c r="F13" s="28">
        <f t="shared" si="6"/>
        <v>15397</v>
      </c>
      <c r="G13" s="28">
        <f t="shared" si="6"/>
        <v>18830</v>
      </c>
      <c r="H13" s="28">
        <f t="shared" si="6"/>
        <v>12105</v>
      </c>
      <c r="I13" s="69">
        <f>I9-I11-I12</f>
        <v>20575.202000000005</v>
      </c>
    </row>
    <row r="14" spans="2:17">
      <c r="B14" s="29" t="s">
        <v>228</v>
      </c>
      <c r="C14" s="30">
        <f t="shared" ref="C14:H14" si="7">C13/C5</f>
        <v>0.26234586741545601</v>
      </c>
      <c r="D14" s="30">
        <f t="shared" si="7"/>
        <v>0.19808976660682226</v>
      </c>
      <c r="E14" s="30">
        <f t="shared" si="7"/>
        <v>0.20087391352357517</v>
      </c>
      <c r="F14" s="30">
        <f t="shared" si="7"/>
        <v>0.21321645687064655</v>
      </c>
      <c r="G14" s="30">
        <f t="shared" si="7"/>
        <v>0.2544457056375331</v>
      </c>
      <c r="H14" s="30">
        <f t="shared" si="7"/>
        <v>0.13113280107462816</v>
      </c>
      <c r="I14" s="30">
        <f>I13/I5</f>
        <v>0.16252543162322058</v>
      </c>
    </row>
    <row r="15" spans="2:17">
      <c r="B15" t="s">
        <v>229</v>
      </c>
      <c r="C15">
        <f>5425</f>
        <v>5425</v>
      </c>
      <c r="D15">
        <f>5559</f>
        <v>5559</v>
      </c>
      <c r="E15">
        <f>5559</f>
        <v>5559</v>
      </c>
      <c r="F15">
        <f>5617</f>
        <v>5617</v>
      </c>
      <c r="G15">
        <f>6047</f>
        <v>6047</v>
      </c>
      <c r="H15">
        <f>7846</f>
        <v>7846</v>
      </c>
      <c r="I15" s="22">
        <f>10961268/1000</f>
        <v>10961.268</v>
      </c>
    </row>
    <row r="16" spans="2:17">
      <c r="B16" s="28" t="s">
        <v>64</v>
      </c>
      <c r="C16" s="28">
        <f t="shared" ref="C16:H16" si="8">C13-C15</f>
        <v>11766</v>
      </c>
      <c r="D16" s="28">
        <f>D13-D15</f>
        <v>8233</v>
      </c>
      <c r="E16" s="28">
        <f t="shared" si="8"/>
        <v>7175</v>
      </c>
      <c r="F16" s="28">
        <f t="shared" si="8"/>
        <v>9780</v>
      </c>
      <c r="G16" s="28">
        <f t="shared" si="8"/>
        <v>12783</v>
      </c>
      <c r="H16" s="28">
        <f t="shared" si="8"/>
        <v>4259</v>
      </c>
      <c r="I16" s="69">
        <f>I13-I15</f>
        <v>9613.9340000000047</v>
      </c>
    </row>
    <row r="17" spans="2:64">
      <c r="B17" s="29" t="s">
        <v>230</v>
      </c>
      <c r="C17" s="30">
        <f t="shared" ref="C17:H17" si="9">C16/C5</f>
        <v>0.17955683066780612</v>
      </c>
      <c r="D17" s="30">
        <f t="shared" si="9"/>
        <v>0.11824775583482944</v>
      </c>
      <c r="E17" s="30">
        <f t="shared" si="9"/>
        <v>0.11318284353162021</v>
      </c>
      <c r="F17" s="30">
        <f t="shared" si="9"/>
        <v>0.1354326783266171</v>
      </c>
      <c r="G17" s="30">
        <f t="shared" si="9"/>
        <v>0.17273390627533647</v>
      </c>
      <c r="H17" s="30">
        <f t="shared" si="9"/>
        <v>4.6137513405769624E-2</v>
      </c>
      <c r="I17" s="30">
        <f>I16/I5</f>
        <v>7.5941357608404328E-2</v>
      </c>
      <c r="K17" s="35"/>
    </row>
    <row r="18" spans="2:64">
      <c r="B18" t="s">
        <v>221</v>
      </c>
      <c r="C18">
        <f>-2071</f>
        <v>-2071</v>
      </c>
      <c r="D18">
        <f>-1276</f>
        <v>-1276</v>
      </c>
      <c r="E18">
        <f>-996</f>
        <v>-996</v>
      </c>
      <c r="F18">
        <f>-1654</f>
        <v>-1654</v>
      </c>
      <c r="G18">
        <f>-2471</f>
        <v>-2471</v>
      </c>
      <c r="H18">
        <f>-601</f>
        <v>-601</v>
      </c>
      <c r="I18" s="22">
        <f>-3065793/1000</f>
        <v>-3065.7930000000001</v>
      </c>
    </row>
    <row r="19" spans="2:64">
      <c r="B19" t="s">
        <v>231</v>
      </c>
      <c r="C19" s="6">
        <f t="shared" ref="C19:H19" si="10">-C26</f>
        <v>-951.49888365169932</v>
      </c>
      <c r="D19" s="6">
        <f t="shared" si="10"/>
        <v>-704.13267998492279</v>
      </c>
      <c r="E19" s="6">
        <f t="shared" si="10"/>
        <v>-585.20000000000005</v>
      </c>
      <c r="F19" s="6">
        <f t="shared" si="10"/>
        <v>-504.46</v>
      </c>
      <c r="G19" s="6">
        <f t="shared" si="10"/>
        <v>-344.52</v>
      </c>
      <c r="H19" s="6">
        <f t="shared" si="10"/>
        <v>-335.94</v>
      </c>
      <c r="I19" s="22">
        <f>-I26</f>
        <v>939.20529999999997</v>
      </c>
    </row>
    <row r="20" spans="2:64">
      <c r="B20" t="s">
        <v>232</v>
      </c>
      <c r="C20" s="6">
        <f>C18+C19</f>
        <v>-3022.4988836516995</v>
      </c>
      <c r="D20" s="6">
        <f t="shared" ref="D20:H20" si="11">D18+D19</f>
        <v>-1980.1326799849228</v>
      </c>
      <c r="E20" s="6">
        <f t="shared" si="11"/>
        <v>-1581.2</v>
      </c>
      <c r="F20" s="6">
        <f t="shared" si="11"/>
        <v>-2158.46</v>
      </c>
      <c r="G20" s="6">
        <f t="shared" si="11"/>
        <v>-2815.52</v>
      </c>
      <c r="H20" s="6">
        <f t="shared" si="11"/>
        <v>-936.94</v>
      </c>
      <c r="I20" s="22">
        <f>I18+I19</f>
        <v>-2126.5877</v>
      </c>
    </row>
    <row r="21" spans="2:64">
      <c r="B21" s="33" t="s">
        <v>233</v>
      </c>
      <c r="C21" s="39">
        <f>(-C20)/C16</f>
        <v>0.2568841478541305</v>
      </c>
      <c r="D21" s="39">
        <f t="shared" ref="D21:H21" si="12">(-D20)/D16</f>
        <v>0.24051168225251096</v>
      </c>
      <c r="E21" s="39">
        <f t="shared" si="12"/>
        <v>0.22037630662020907</v>
      </c>
      <c r="F21" s="39">
        <f t="shared" si="12"/>
        <v>0.22070143149284255</v>
      </c>
      <c r="G21" s="39">
        <f t="shared" si="12"/>
        <v>0.22025502620668075</v>
      </c>
      <c r="H21" s="39">
        <f t="shared" si="12"/>
        <v>0.21999060812397278</v>
      </c>
      <c r="I21" s="39">
        <f>(-I20)/I16</f>
        <v>0.2211984916892501</v>
      </c>
    </row>
    <row r="22" spans="2:64">
      <c r="B22" s="31" t="s">
        <v>66</v>
      </c>
      <c r="C22" s="32">
        <f>C16+C20</f>
        <v>8743.5011163482995</v>
      </c>
      <c r="D22" s="32">
        <f t="shared" ref="D22:H22" si="13">D16+D20</f>
        <v>6252.867320015077</v>
      </c>
      <c r="E22" s="32">
        <f t="shared" si="13"/>
        <v>5593.8</v>
      </c>
      <c r="F22" s="32">
        <f t="shared" si="13"/>
        <v>7621.54</v>
      </c>
      <c r="G22" s="32">
        <f t="shared" si="13"/>
        <v>9967.48</v>
      </c>
      <c r="H22" s="32">
        <f t="shared" si="13"/>
        <v>3322.06</v>
      </c>
      <c r="I22" s="68">
        <f>I16+I20</f>
        <v>7487.3463000000047</v>
      </c>
    </row>
    <row r="23" spans="2:64">
      <c r="B23" s="33" t="s">
        <v>234</v>
      </c>
      <c r="C23" s="34">
        <f t="shared" ref="C23:H23" si="14">C22/C5</f>
        <v>0.13343152723031834</v>
      </c>
      <c r="D23" s="34">
        <f t="shared" si="14"/>
        <v>8.9807789156410439E-2</v>
      </c>
      <c r="E23" s="34">
        <f t="shared" si="14"/>
        <v>8.8240026501348726E-2</v>
      </c>
      <c r="F23" s="34">
        <f t="shared" si="14"/>
        <v>0.10554249234902303</v>
      </c>
      <c r="G23" s="34">
        <f t="shared" si="14"/>
        <v>0.13468839522187989</v>
      </c>
      <c r="H23" s="34">
        <f t="shared" si="14"/>
        <v>3.5987693774306419E-2</v>
      </c>
      <c r="I23" s="64">
        <f>I22/I5</f>
        <v>5.9143243848591327E-2</v>
      </c>
      <c r="J23" s="64"/>
    </row>
    <row r="24" spans="2:64">
      <c r="B24" t="s">
        <v>235</v>
      </c>
      <c r="C24">
        <v>-3711</v>
      </c>
      <c r="D24">
        <v>-2938</v>
      </c>
      <c r="E24">
        <v>-2676</v>
      </c>
      <c r="F24">
        <v>-2337</v>
      </c>
      <c r="G24">
        <v>-1588</v>
      </c>
      <c r="H24">
        <v>-1648</v>
      </c>
      <c r="I24" s="22">
        <f>-3920337/1000</f>
        <v>-3920.337</v>
      </c>
      <c r="J24" s="6">
        <f>I25-3920</f>
        <v>4269.4520000000002</v>
      </c>
    </row>
    <row r="25" spans="2:64">
      <c r="B25" t="s">
        <v>236</v>
      </c>
      <c r="C25">
        <v>7</v>
      </c>
      <c r="D25">
        <v>10</v>
      </c>
      <c r="E25">
        <v>16</v>
      </c>
      <c r="F25">
        <v>44</v>
      </c>
      <c r="G25">
        <v>22</v>
      </c>
      <c r="H25">
        <v>121</v>
      </c>
      <c r="I25" s="22">
        <f>8189452/1000</f>
        <v>8189.4520000000002</v>
      </c>
      <c r="J25" s="6"/>
      <c r="K25" s="6">
        <f>1648-121</f>
        <v>1527</v>
      </c>
    </row>
    <row r="26" spans="2:64">
      <c r="B26" t="s">
        <v>237</v>
      </c>
      <c r="C26" s="6">
        <f>-L6*SUM(C24:C25)</f>
        <v>951.49888365169932</v>
      </c>
      <c r="D26" s="6">
        <f>-M6*SUM(D24:D25)</f>
        <v>704.13267998492279</v>
      </c>
      <c r="E26" s="6">
        <f>-0.22*SUM(E24:E25)</f>
        <v>585.20000000000005</v>
      </c>
      <c r="F26" s="6">
        <f>-0.22*SUM(F24:F25)</f>
        <v>504.46</v>
      </c>
      <c r="G26" s="6">
        <f>-0.22*SUM(G24:G25)</f>
        <v>344.52</v>
      </c>
      <c r="H26" s="6">
        <f>-0.22*SUM(H24:H25)</f>
        <v>335.94</v>
      </c>
      <c r="I26" s="22">
        <f>-0.22*SUM(I24:I25)</f>
        <v>-939.20529999999997</v>
      </c>
      <c r="J26" s="6">
        <f>3920-8189</f>
        <v>-4269</v>
      </c>
      <c r="K26" s="197">
        <f>1588-22</f>
        <v>1566</v>
      </c>
    </row>
    <row r="27" spans="2:64">
      <c r="B27" s="5" t="s">
        <v>238</v>
      </c>
      <c r="C27" s="7">
        <f>C22+C24+C25+C26</f>
        <v>5990.9999999999991</v>
      </c>
      <c r="D27" s="7">
        <f t="shared" ref="D27:H27" si="15">D22+D24+D25+D26</f>
        <v>4029</v>
      </c>
      <c r="E27" s="7">
        <f t="shared" si="15"/>
        <v>3519</v>
      </c>
      <c r="F27" s="7">
        <f t="shared" si="15"/>
        <v>5833</v>
      </c>
      <c r="G27" s="7">
        <f t="shared" si="15"/>
        <v>8746</v>
      </c>
      <c r="H27" s="7">
        <f t="shared" si="15"/>
        <v>2131</v>
      </c>
      <c r="I27" s="67">
        <f>I22+I24+I25+I26</f>
        <v>10817.256000000005</v>
      </c>
    </row>
    <row r="28" spans="2:64" ht="21">
      <c r="AH28" s="663" t="s">
        <v>239</v>
      </c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</row>
    <row r="29" spans="2:64" ht="21.6" thickBot="1">
      <c r="B29" s="572" t="s">
        <v>217</v>
      </c>
      <c r="C29" s="572"/>
      <c r="D29" s="572"/>
      <c r="E29" s="572"/>
      <c r="F29" s="572"/>
      <c r="G29" s="572"/>
      <c r="H29" s="572"/>
      <c r="J29" s="5" t="s">
        <v>240</v>
      </c>
      <c r="K29" s="5">
        <v>2016</v>
      </c>
      <c r="L29" s="5">
        <v>2017</v>
      </c>
      <c r="M29" s="5">
        <v>2018</v>
      </c>
      <c r="N29" s="5">
        <v>2019</v>
      </c>
      <c r="O29" s="5">
        <v>2020</v>
      </c>
      <c r="P29" s="5">
        <v>2021</v>
      </c>
      <c r="R29" s="660" t="s">
        <v>241</v>
      </c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2"/>
      <c r="AH29" s="5" t="s">
        <v>240</v>
      </c>
      <c r="AI29" s="5">
        <v>2016</v>
      </c>
      <c r="AJ29" s="5">
        <v>2017</v>
      </c>
      <c r="AK29" s="5">
        <v>2018</v>
      </c>
      <c r="AL29" s="5">
        <v>2019</v>
      </c>
      <c r="AM29" s="5">
        <v>2020</v>
      </c>
      <c r="AN29" s="5">
        <v>2021</v>
      </c>
      <c r="AO29" s="11">
        <v>2022</v>
      </c>
      <c r="AP29" s="5" t="s">
        <v>240</v>
      </c>
      <c r="AQ29" s="5">
        <v>2016</v>
      </c>
      <c r="AR29" s="5">
        <v>2017</v>
      </c>
      <c r="AS29" s="5">
        <v>2018</v>
      </c>
      <c r="AT29" s="5">
        <v>2019</v>
      </c>
      <c r="AU29" s="5">
        <v>2020</v>
      </c>
      <c r="AV29" s="5">
        <v>2021</v>
      </c>
      <c r="AX29" s="5" t="s">
        <v>240</v>
      </c>
      <c r="AY29" s="5">
        <v>2016</v>
      </c>
      <c r="AZ29" s="5">
        <v>2017</v>
      </c>
      <c r="BA29" s="5">
        <v>2018</v>
      </c>
      <c r="BB29" s="5">
        <v>2019</v>
      </c>
      <c r="BC29" s="5">
        <v>2020</v>
      </c>
      <c r="BD29" s="5">
        <v>2021</v>
      </c>
      <c r="BF29" s="5" t="s">
        <v>240</v>
      </c>
      <c r="BG29" s="5">
        <v>2016</v>
      </c>
      <c r="BH29" s="5">
        <v>2017</v>
      </c>
      <c r="BI29" s="5">
        <v>2018</v>
      </c>
      <c r="BJ29" s="5">
        <v>2019</v>
      </c>
      <c r="BK29" s="5">
        <v>2020</v>
      </c>
      <c r="BL29" s="5">
        <v>2021</v>
      </c>
    </row>
    <row r="30" spans="2:64" ht="15" thickBot="1">
      <c r="B30" s="5" t="s">
        <v>240</v>
      </c>
      <c r="C30" s="5">
        <v>2016</v>
      </c>
      <c r="D30" s="5">
        <v>2017</v>
      </c>
      <c r="E30" s="5">
        <v>2018</v>
      </c>
      <c r="F30" s="5">
        <v>2019</v>
      </c>
      <c r="G30" s="5">
        <v>2020</v>
      </c>
      <c r="H30" s="5">
        <v>2021</v>
      </c>
      <c r="J30" t="s">
        <v>242</v>
      </c>
      <c r="K30">
        <v>20000</v>
      </c>
      <c r="L30">
        <v>20000</v>
      </c>
      <c r="M30">
        <v>20000</v>
      </c>
      <c r="N30">
        <v>20000</v>
      </c>
      <c r="O30">
        <v>20000</v>
      </c>
      <c r="P30">
        <v>20000</v>
      </c>
      <c r="R30" s="15" t="s">
        <v>240</v>
      </c>
      <c r="S30" s="5">
        <v>2016</v>
      </c>
      <c r="T30" s="5">
        <v>2017</v>
      </c>
      <c r="U30" s="5">
        <v>2018</v>
      </c>
      <c r="V30" s="5">
        <v>2019</v>
      </c>
      <c r="W30" s="5">
        <v>2020</v>
      </c>
      <c r="X30" s="5">
        <v>2021</v>
      </c>
      <c r="Z30" s="5" t="s">
        <v>240</v>
      </c>
      <c r="AA30" s="5">
        <v>2016</v>
      </c>
      <c r="AB30" s="5">
        <v>2017</v>
      </c>
      <c r="AC30" s="5">
        <v>2018</v>
      </c>
      <c r="AD30" s="5">
        <v>2019</v>
      </c>
      <c r="AE30" s="5">
        <v>2020</v>
      </c>
      <c r="AF30" s="16">
        <v>2021</v>
      </c>
      <c r="AH30" s="17" t="s">
        <v>10</v>
      </c>
      <c r="AI30" s="22">
        <v>81289</v>
      </c>
      <c r="AJ30" s="22">
        <v>76794</v>
      </c>
      <c r="AK30" s="22">
        <v>71823</v>
      </c>
      <c r="AL30" s="22">
        <v>68466</v>
      </c>
      <c r="AM30" s="22">
        <v>83054</v>
      </c>
      <c r="AN30" s="22">
        <v>109272</v>
      </c>
      <c r="AO30" s="22">
        <f>Forecast!I29</f>
        <v>97633.7</v>
      </c>
      <c r="AP30" t="s">
        <v>242</v>
      </c>
      <c r="AQ30">
        <v>20000</v>
      </c>
      <c r="AR30">
        <v>20000</v>
      </c>
      <c r="AS30">
        <v>20000</v>
      </c>
      <c r="AT30">
        <v>20000</v>
      </c>
      <c r="AU30">
        <v>20000</v>
      </c>
      <c r="AV30" s="18">
        <v>20000</v>
      </c>
      <c r="AX30" s="17" t="s">
        <v>10</v>
      </c>
      <c r="AY30">
        <v>81289</v>
      </c>
      <c r="AZ30">
        <v>76794</v>
      </c>
      <c r="BA30">
        <v>71823</v>
      </c>
      <c r="BB30">
        <v>68466</v>
      </c>
      <c r="BC30">
        <v>83054</v>
      </c>
      <c r="BD30">
        <v>109272</v>
      </c>
      <c r="BF30" t="s">
        <v>242</v>
      </c>
      <c r="BG30">
        <v>20000</v>
      </c>
      <c r="BH30">
        <v>20000</v>
      </c>
      <c r="BI30">
        <v>20000</v>
      </c>
      <c r="BJ30">
        <v>20000</v>
      </c>
      <c r="BK30">
        <v>20000</v>
      </c>
      <c r="BL30" s="18">
        <v>20000</v>
      </c>
    </row>
    <row r="31" spans="2:64">
      <c r="B31" t="s">
        <v>10</v>
      </c>
      <c r="C31">
        <v>81289</v>
      </c>
      <c r="D31">
        <v>76794</v>
      </c>
      <c r="E31">
        <v>71823</v>
      </c>
      <c r="F31">
        <v>68466</v>
      </c>
      <c r="G31">
        <v>83054</v>
      </c>
      <c r="H31">
        <v>109272</v>
      </c>
      <c r="J31" t="s">
        <v>243</v>
      </c>
      <c r="K31">
        <v>-4321</v>
      </c>
      <c r="L31">
        <v>-291</v>
      </c>
      <c r="M31">
        <v>1728</v>
      </c>
      <c r="N31">
        <v>4661</v>
      </c>
      <c r="O31">
        <v>6411</v>
      </c>
      <c r="P31">
        <v>8541</v>
      </c>
      <c r="R31" s="17" t="s">
        <v>10</v>
      </c>
      <c r="S31">
        <v>81289</v>
      </c>
      <c r="T31">
        <v>76794</v>
      </c>
      <c r="U31">
        <v>71823</v>
      </c>
      <c r="V31">
        <v>68466</v>
      </c>
      <c r="W31">
        <v>83054</v>
      </c>
      <c r="X31">
        <v>109272</v>
      </c>
      <c r="Z31" t="s">
        <v>242</v>
      </c>
      <c r="AA31">
        <v>20000</v>
      </c>
      <c r="AB31">
        <v>20000</v>
      </c>
      <c r="AC31">
        <v>20000</v>
      </c>
      <c r="AD31">
        <v>20000</v>
      </c>
      <c r="AE31">
        <v>20000</v>
      </c>
      <c r="AF31" s="18">
        <v>20000</v>
      </c>
      <c r="AH31" s="17" t="s">
        <v>12</v>
      </c>
      <c r="AI31" s="22">
        <v>2699</v>
      </c>
      <c r="AJ31" s="22">
        <v>2370</v>
      </c>
      <c r="AK31" s="22">
        <v>2044</v>
      </c>
      <c r="AL31" s="22">
        <v>1733</v>
      </c>
      <c r="AM31" s="22">
        <v>1560</v>
      </c>
      <c r="AN31" s="22">
        <v>1388</v>
      </c>
      <c r="AO31" s="22">
        <f>Forecast!I30</f>
        <v>2234.65</v>
      </c>
      <c r="AP31" t="s">
        <v>243</v>
      </c>
      <c r="AQ31">
        <v>-4321</v>
      </c>
      <c r="AR31">
        <v>-291</v>
      </c>
      <c r="AS31">
        <v>1728</v>
      </c>
      <c r="AT31">
        <v>4661</v>
      </c>
      <c r="AU31">
        <v>6411</v>
      </c>
      <c r="AV31" s="18">
        <v>8541</v>
      </c>
      <c r="AX31" s="17" t="s">
        <v>12</v>
      </c>
      <c r="AY31">
        <v>2699</v>
      </c>
      <c r="AZ31">
        <v>2370</v>
      </c>
      <c r="BA31">
        <v>2044</v>
      </c>
      <c r="BB31">
        <v>1733</v>
      </c>
      <c r="BC31">
        <v>1560</v>
      </c>
      <c r="BD31">
        <v>1388</v>
      </c>
      <c r="BF31" t="s">
        <v>243</v>
      </c>
      <c r="BG31">
        <v>-4321</v>
      </c>
      <c r="BH31">
        <v>-291</v>
      </c>
      <c r="BI31">
        <v>1728</v>
      </c>
      <c r="BJ31">
        <v>4661</v>
      </c>
      <c r="BK31">
        <v>6411</v>
      </c>
      <c r="BL31" s="18">
        <v>8541</v>
      </c>
    </row>
    <row r="32" spans="2:64" ht="15" thickBot="1">
      <c r="B32" t="s">
        <v>12</v>
      </c>
      <c r="C32">
        <v>2699</v>
      </c>
      <c r="D32">
        <v>2370</v>
      </c>
      <c r="E32">
        <v>2044</v>
      </c>
      <c r="F32">
        <v>1733</v>
      </c>
      <c r="G32">
        <v>1560</v>
      </c>
      <c r="H32">
        <v>1388</v>
      </c>
      <c r="J32" s="5" t="s">
        <v>244</v>
      </c>
      <c r="K32" s="5">
        <f>SUM(K30:K31)</f>
        <v>15679</v>
      </c>
      <c r="L32" s="5">
        <f t="shared" ref="L32:P32" si="16">SUM(L30:L31)</f>
        <v>19709</v>
      </c>
      <c r="M32" s="5">
        <f t="shared" si="16"/>
        <v>21728</v>
      </c>
      <c r="N32" s="5">
        <f t="shared" si="16"/>
        <v>24661</v>
      </c>
      <c r="O32" s="5">
        <f t="shared" si="16"/>
        <v>26411</v>
      </c>
      <c r="P32" s="5">
        <f t="shared" si="16"/>
        <v>28541</v>
      </c>
      <c r="R32" s="17" t="s">
        <v>12</v>
      </c>
      <c r="S32">
        <v>2699</v>
      </c>
      <c r="T32">
        <v>2370</v>
      </c>
      <c r="U32">
        <v>2044</v>
      </c>
      <c r="V32">
        <v>1733</v>
      </c>
      <c r="W32">
        <v>1560</v>
      </c>
      <c r="X32">
        <v>1388</v>
      </c>
      <c r="Z32" t="s">
        <v>243</v>
      </c>
      <c r="AA32">
        <v>-4321</v>
      </c>
      <c r="AB32">
        <v>-291</v>
      </c>
      <c r="AC32">
        <v>1728</v>
      </c>
      <c r="AD32">
        <v>4661</v>
      </c>
      <c r="AE32">
        <v>6411</v>
      </c>
      <c r="AF32" s="18">
        <v>8541</v>
      </c>
      <c r="AH32" s="17" t="s">
        <v>14</v>
      </c>
      <c r="AI32" s="22">
        <v>1493</v>
      </c>
      <c r="AJ32" s="22">
        <v>1579</v>
      </c>
      <c r="AK32" s="22">
        <v>1505</v>
      </c>
      <c r="AL32" s="22">
        <v>1608</v>
      </c>
      <c r="AM32" s="22">
        <v>1441</v>
      </c>
      <c r="AN32" s="22">
        <v>1864</v>
      </c>
      <c r="AO32" s="22">
        <f>Forecast!I31</f>
        <v>14142.847</v>
      </c>
      <c r="AP32" s="5" t="s">
        <v>244</v>
      </c>
      <c r="AQ32" s="5">
        <f t="shared" ref="AQ32" si="17">SUM(AQ30:AQ31)</f>
        <v>15679</v>
      </c>
      <c r="AR32" s="5">
        <f t="shared" ref="AR32" si="18">SUM(AR30:AR31)</f>
        <v>19709</v>
      </c>
      <c r="AS32" s="5">
        <f t="shared" ref="AS32" si="19">SUM(AS30:AS31)</f>
        <v>21728</v>
      </c>
      <c r="AT32" s="5">
        <f t="shared" ref="AT32" si="20">SUM(AT30:AT31)</f>
        <v>24661</v>
      </c>
      <c r="AU32" s="5">
        <f t="shared" ref="AU32" si="21">SUM(AU30:AU31)</f>
        <v>26411</v>
      </c>
      <c r="AV32" s="16">
        <f t="shared" ref="AV32" si="22">SUM(AV30:AV31)</f>
        <v>28541</v>
      </c>
      <c r="AX32" s="17" t="s">
        <v>14</v>
      </c>
      <c r="AY32">
        <v>1493</v>
      </c>
      <c r="AZ32">
        <v>1579</v>
      </c>
      <c r="BA32">
        <v>1505</v>
      </c>
      <c r="BB32">
        <v>1608</v>
      </c>
      <c r="BC32">
        <v>1441</v>
      </c>
      <c r="BD32">
        <v>1864</v>
      </c>
      <c r="BF32" s="5" t="s">
        <v>245</v>
      </c>
      <c r="BG32" s="5">
        <f>SUM(BG30:BG31)</f>
        <v>15679</v>
      </c>
      <c r="BH32" s="5">
        <f t="shared" ref="BH32:BL32" si="23">SUM(BH30:BH31)</f>
        <v>19709</v>
      </c>
      <c r="BI32" s="5">
        <f t="shared" si="23"/>
        <v>21728</v>
      </c>
      <c r="BJ32" s="5">
        <f t="shared" si="23"/>
        <v>24661</v>
      </c>
      <c r="BK32" s="5">
        <f t="shared" si="23"/>
        <v>26411</v>
      </c>
      <c r="BL32" s="5">
        <f t="shared" si="23"/>
        <v>28541</v>
      </c>
    </row>
    <row r="33" spans="2:64" ht="15" thickBot="1">
      <c r="B33" t="s">
        <v>14</v>
      </c>
      <c r="C33">
        <v>1493</v>
      </c>
      <c r="D33">
        <v>1579</v>
      </c>
      <c r="E33">
        <v>1505</v>
      </c>
      <c r="F33">
        <v>1608</v>
      </c>
      <c r="G33">
        <v>1441</v>
      </c>
      <c r="H33">
        <v>1864</v>
      </c>
      <c r="J33" t="s">
        <v>246</v>
      </c>
      <c r="K33">
        <v>0</v>
      </c>
      <c r="L33">
        <f>0</f>
        <v>0</v>
      </c>
      <c r="M33">
        <f>934</f>
        <v>934</v>
      </c>
      <c r="N33">
        <f>1076</f>
        <v>1076</v>
      </c>
      <c r="O33">
        <f>993</f>
        <v>993</v>
      </c>
      <c r="P33">
        <f>1147</f>
        <v>1147</v>
      </c>
      <c r="R33" s="17" t="s">
        <v>14</v>
      </c>
      <c r="S33">
        <v>1493</v>
      </c>
      <c r="T33">
        <v>1579</v>
      </c>
      <c r="U33">
        <v>1505</v>
      </c>
      <c r="V33">
        <v>1608</v>
      </c>
      <c r="W33">
        <v>1441</v>
      </c>
      <c r="X33">
        <v>1864</v>
      </c>
      <c r="Z33" s="5" t="s">
        <v>244</v>
      </c>
      <c r="AA33" s="5">
        <f t="shared" ref="AA33:AF33" si="24">SUM(AA31:AA32)</f>
        <v>15679</v>
      </c>
      <c r="AB33" s="5">
        <f t="shared" si="24"/>
        <v>19709</v>
      </c>
      <c r="AC33" s="5">
        <f t="shared" si="24"/>
        <v>21728</v>
      </c>
      <c r="AD33" s="5">
        <f t="shared" si="24"/>
        <v>24661</v>
      </c>
      <c r="AE33" s="5">
        <f t="shared" si="24"/>
        <v>26411</v>
      </c>
      <c r="AF33" s="16">
        <f t="shared" si="24"/>
        <v>28541</v>
      </c>
      <c r="AH33" s="17" t="s">
        <v>247</v>
      </c>
      <c r="AI33" s="22">
        <v>1338</v>
      </c>
      <c r="AJ33" s="22">
        <v>62</v>
      </c>
      <c r="AK33" s="110"/>
      <c r="AL33" s="110"/>
      <c r="AM33" s="110"/>
      <c r="AN33" s="110"/>
      <c r="AO33" s="22"/>
      <c r="AP33" t="s">
        <v>246</v>
      </c>
      <c r="AQ33">
        <v>0</v>
      </c>
      <c r="AR33">
        <f>0</f>
        <v>0</v>
      </c>
      <c r="AS33">
        <f>934</f>
        <v>934</v>
      </c>
      <c r="AT33">
        <f>1076</f>
        <v>1076</v>
      </c>
      <c r="AU33">
        <f>993</f>
        <v>993</v>
      </c>
      <c r="AV33" s="18">
        <f>1147</f>
        <v>1147</v>
      </c>
      <c r="AX33" s="17" t="s">
        <v>247</v>
      </c>
      <c r="AY33">
        <v>1338</v>
      </c>
      <c r="AZ33">
        <v>62</v>
      </c>
      <c r="BA33" s="11"/>
      <c r="BB33" s="11"/>
      <c r="BC33" s="11"/>
      <c r="BD33" s="11"/>
      <c r="BF33" t="s">
        <v>248</v>
      </c>
      <c r="BG33">
        <f>80442</f>
        <v>80442</v>
      </c>
      <c r="BH33">
        <f>74265</f>
        <v>74265</v>
      </c>
      <c r="BI33">
        <f>68089</f>
        <v>68089</v>
      </c>
      <c r="BJ33">
        <f>61912</f>
        <v>61912</v>
      </c>
      <c r="BK33">
        <f>55736</f>
        <v>55736</v>
      </c>
      <c r="BL33" s="18">
        <f>90716</f>
        <v>90716</v>
      </c>
    </row>
    <row r="34" spans="2:64" ht="15" thickBot="1">
      <c r="B34" s="5" t="s">
        <v>249</v>
      </c>
      <c r="C34" s="5">
        <f>SUM(C31:C33)</f>
        <v>85481</v>
      </c>
      <c r="D34" s="5">
        <f>D31+D32+D33</f>
        <v>80743</v>
      </c>
      <c r="E34" s="5">
        <f>E31+E32+E33</f>
        <v>75372</v>
      </c>
      <c r="F34" s="5">
        <f>F31+F32+F33</f>
        <v>71807</v>
      </c>
      <c r="G34" s="5">
        <f>G31+G32+G33</f>
        <v>86055</v>
      </c>
      <c r="H34" s="5">
        <f>H31+H32+H33</f>
        <v>112524</v>
      </c>
      <c r="J34" t="s">
        <v>248</v>
      </c>
      <c r="K34">
        <f>80442</f>
        <v>80442</v>
      </c>
      <c r="L34">
        <f>74265</f>
        <v>74265</v>
      </c>
      <c r="M34">
        <f>68089</f>
        <v>68089</v>
      </c>
      <c r="N34">
        <f>61912</f>
        <v>61912</v>
      </c>
      <c r="O34">
        <f>55736</f>
        <v>55736</v>
      </c>
      <c r="P34">
        <f>90716</f>
        <v>90716</v>
      </c>
      <c r="R34" s="17" t="s">
        <v>247</v>
      </c>
      <c r="S34">
        <v>1338</v>
      </c>
      <c r="T34">
        <v>62</v>
      </c>
      <c r="U34" s="11"/>
      <c r="V34" s="11"/>
      <c r="W34" s="11"/>
      <c r="X34" s="11"/>
      <c r="Z34" t="s">
        <v>246</v>
      </c>
      <c r="AA34">
        <v>0</v>
      </c>
      <c r="AB34">
        <f>0</f>
        <v>0</v>
      </c>
      <c r="AC34">
        <f>934</f>
        <v>934</v>
      </c>
      <c r="AD34">
        <f>1076</f>
        <v>1076</v>
      </c>
      <c r="AE34">
        <f>993</f>
        <v>993</v>
      </c>
      <c r="AF34" s="18">
        <f>1147</f>
        <v>1147</v>
      </c>
      <c r="AH34" t="s">
        <v>246</v>
      </c>
      <c r="AI34" s="22">
        <v>0</v>
      </c>
      <c r="AJ34" s="22">
        <f>0</f>
        <v>0</v>
      </c>
      <c r="AK34" s="22">
        <f>-934</f>
        <v>-934</v>
      </c>
      <c r="AL34" s="22">
        <f>-1076</f>
        <v>-1076</v>
      </c>
      <c r="AM34" s="22">
        <f>-993</f>
        <v>-993</v>
      </c>
      <c r="AN34" s="250">
        <f>-1147</f>
        <v>-1147</v>
      </c>
      <c r="AO34" s="22">
        <f>Forecast!I49*-1</f>
        <v>-629.57600000000002</v>
      </c>
      <c r="AP34" s="5" t="s">
        <v>250</v>
      </c>
      <c r="AQ34" s="5">
        <f t="shared" ref="AQ34" si="25">AQ33</f>
        <v>0</v>
      </c>
      <c r="AR34" s="5">
        <f t="shared" ref="AR34" si="26">AR33</f>
        <v>0</v>
      </c>
      <c r="AS34" s="5">
        <f t="shared" ref="AS34" si="27">AS33</f>
        <v>934</v>
      </c>
      <c r="AT34" s="5">
        <f t="shared" ref="AT34" si="28">AT33</f>
        <v>1076</v>
      </c>
      <c r="AU34" s="5">
        <f t="shared" ref="AU34" si="29">AU33</f>
        <v>993</v>
      </c>
      <c r="AV34" s="16">
        <f t="shared" ref="AV34" si="30">AV33</f>
        <v>1147</v>
      </c>
      <c r="AX34" t="s">
        <v>246</v>
      </c>
      <c r="AY34">
        <v>0</v>
      </c>
      <c r="AZ34">
        <f>0</f>
        <v>0</v>
      </c>
      <c r="BA34">
        <f>-934</f>
        <v>-934</v>
      </c>
      <c r="BB34">
        <f>-1076</f>
        <v>-1076</v>
      </c>
      <c r="BC34">
        <f>-993</f>
        <v>-993</v>
      </c>
      <c r="BD34" s="18">
        <f>-1147</f>
        <v>-1147</v>
      </c>
      <c r="BF34" t="s">
        <v>251</v>
      </c>
      <c r="BG34">
        <v>0</v>
      </c>
      <c r="BH34">
        <v>0</v>
      </c>
      <c r="BI34">
        <f>1500</f>
        <v>1500</v>
      </c>
      <c r="BJ34">
        <f>2900</f>
        <v>2900</v>
      </c>
      <c r="BK34">
        <f>7000</f>
        <v>7000</v>
      </c>
      <c r="BL34" s="18">
        <f>0</f>
        <v>0</v>
      </c>
    </row>
    <row r="35" spans="2:64" ht="15" thickBot="1">
      <c r="B35" t="s">
        <v>247</v>
      </c>
      <c r="C35">
        <v>1338</v>
      </c>
      <c r="D35">
        <v>62</v>
      </c>
      <c r="E35" s="11"/>
      <c r="F35" s="11"/>
      <c r="G35" s="11"/>
      <c r="H35" s="11"/>
      <c r="J35" s="5" t="s">
        <v>252</v>
      </c>
      <c r="K35" s="5">
        <f>K34</f>
        <v>80442</v>
      </c>
      <c r="L35" s="5">
        <f>L34</f>
        <v>74265</v>
      </c>
      <c r="M35" s="5">
        <f>M34+M33</f>
        <v>69023</v>
      </c>
      <c r="N35" s="5">
        <f>N34+N33</f>
        <v>62988</v>
      </c>
      <c r="O35" s="5">
        <f>O34+O33</f>
        <v>56729</v>
      </c>
      <c r="P35" s="5">
        <f>P34+P33</f>
        <v>91863</v>
      </c>
      <c r="R35" s="15" t="s">
        <v>253</v>
      </c>
      <c r="S35" s="5">
        <f t="shared" ref="S35:X35" si="31">SUM(S31:S34)</f>
        <v>86819</v>
      </c>
      <c r="T35" s="5">
        <f t="shared" si="31"/>
        <v>80805</v>
      </c>
      <c r="U35" s="5">
        <f t="shared" si="31"/>
        <v>75372</v>
      </c>
      <c r="V35" s="5">
        <f t="shared" si="31"/>
        <v>71807</v>
      </c>
      <c r="W35" s="5">
        <f t="shared" si="31"/>
        <v>86055</v>
      </c>
      <c r="X35" s="5">
        <f t="shared" si="31"/>
        <v>112524</v>
      </c>
      <c r="Z35" s="5" t="s">
        <v>250</v>
      </c>
      <c r="AA35" s="5">
        <f t="shared" ref="AA35:AF35" si="32">AA34</f>
        <v>0</v>
      </c>
      <c r="AB35" s="5">
        <f t="shared" si="32"/>
        <v>0</v>
      </c>
      <c r="AC35" s="5">
        <f t="shared" si="32"/>
        <v>934</v>
      </c>
      <c r="AD35" s="5">
        <f t="shared" si="32"/>
        <v>1076</v>
      </c>
      <c r="AE35" s="5">
        <f t="shared" si="32"/>
        <v>993</v>
      </c>
      <c r="AF35" s="16">
        <f t="shared" si="32"/>
        <v>1147</v>
      </c>
      <c r="AH35" s="5" t="s">
        <v>254</v>
      </c>
      <c r="AI35" s="23">
        <f>SUM(AI30:AI34)</f>
        <v>86819</v>
      </c>
      <c r="AJ35" s="23">
        <f t="shared" ref="AJ35:AO35" si="33">SUM(AJ30:AJ34)</f>
        <v>80805</v>
      </c>
      <c r="AK35" s="23">
        <f t="shared" si="33"/>
        <v>74438</v>
      </c>
      <c r="AL35" s="23">
        <f t="shared" si="33"/>
        <v>70731</v>
      </c>
      <c r="AM35" s="23">
        <f t="shared" si="33"/>
        <v>85062</v>
      </c>
      <c r="AN35" s="23">
        <f t="shared" si="33"/>
        <v>111377</v>
      </c>
      <c r="AO35" s="23">
        <f t="shared" si="33"/>
        <v>113381.62099999998</v>
      </c>
      <c r="AP35" t="s">
        <v>248</v>
      </c>
      <c r="AQ35">
        <f>80442</f>
        <v>80442</v>
      </c>
      <c r="AR35">
        <f>74265</f>
        <v>74265</v>
      </c>
      <c r="AS35">
        <f>68089</f>
        <v>68089</v>
      </c>
      <c r="AT35">
        <f>61912</f>
        <v>61912</v>
      </c>
      <c r="AU35">
        <f>55736</f>
        <v>55736</v>
      </c>
      <c r="AV35" s="18">
        <f>90716</f>
        <v>90716</v>
      </c>
      <c r="AX35" s="5" t="s">
        <v>254</v>
      </c>
      <c r="AY35" s="5">
        <f t="shared" ref="AY35" si="34">SUM(AY30:AY34)</f>
        <v>86819</v>
      </c>
      <c r="AZ35" s="5">
        <f t="shared" ref="AZ35" si="35">SUM(AZ30:AZ34)</f>
        <v>80805</v>
      </c>
      <c r="BA35" s="5">
        <f t="shared" ref="BA35" si="36">SUM(BA30:BA34)</f>
        <v>74438</v>
      </c>
      <c r="BB35" s="5">
        <f t="shared" ref="BB35" si="37">SUM(BB30:BB34)</f>
        <v>70731</v>
      </c>
      <c r="BC35" s="5">
        <f t="shared" ref="BC35" si="38">SUM(BC30:BC34)</f>
        <v>85062</v>
      </c>
      <c r="BD35" s="5">
        <f t="shared" ref="BD35" si="39">SUM(BD30:BD34)</f>
        <v>111377</v>
      </c>
      <c r="BF35" s="17" t="s">
        <v>255</v>
      </c>
      <c r="BG35">
        <f t="shared" ref="BG35:BL35" si="40">-AI47</f>
        <v>-1</v>
      </c>
      <c r="BH35">
        <f t="shared" si="40"/>
        <v>-273</v>
      </c>
      <c r="BI35">
        <f t="shared" si="40"/>
        <v>-233</v>
      </c>
      <c r="BJ35">
        <f t="shared" si="40"/>
        <v>-194</v>
      </c>
      <c r="BK35">
        <f t="shared" si="40"/>
        <v>-155</v>
      </c>
      <c r="BL35">
        <f t="shared" si="40"/>
        <v>-116</v>
      </c>
    </row>
    <row r="36" spans="2:64">
      <c r="B36" t="s">
        <v>255</v>
      </c>
      <c r="C36">
        <v>1</v>
      </c>
      <c r="D36">
        <f>273</f>
        <v>273</v>
      </c>
      <c r="E36">
        <f>233</f>
        <v>233</v>
      </c>
      <c r="F36">
        <f>194</f>
        <v>194</v>
      </c>
      <c r="G36">
        <f>155</f>
        <v>155</v>
      </c>
      <c r="H36">
        <f>116</f>
        <v>116</v>
      </c>
      <c r="J36" t="s">
        <v>256</v>
      </c>
      <c r="K36">
        <f>3289</f>
        <v>3289</v>
      </c>
      <c r="L36">
        <f>4284</f>
        <v>4284</v>
      </c>
      <c r="M36">
        <f>4121</f>
        <v>4121</v>
      </c>
      <c r="N36">
        <f>5466</f>
        <v>5466</v>
      </c>
      <c r="O36">
        <f>5777</f>
        <v>5777</v>
      </c>
      <c r="P36">
        <f>8520</f>
        <v>8520</v>
      </c>
      <c r="R36" s="17" t="s">
        <v>255</v>
      </c>
      <c r="S36">
        <v>1</v>
      </c>
      <c r="T36">
        <f>273</f>
        <v>273</v>
      </c>
      <c r="U36">
        <f>233</f>
        <v>233</v>
      </c>
      <c r="V36">
        <f>194</f>
        <v>194</v>
      </c>
      <c r="W36">
        <f>155</f>
        <v>155</v>
      </c>
      <c r="X36">
        <f>116</f>
        <v>116</v>
      </c>
      <c r="Z36" t="s">
        <v>248</v>
      </c>
      <c r="AA36">
        <f>80442</f>
        <v>80442</v>
      </c>
      <c r="AB36">
        <f>74265</f>
        <v>74265</v>
      </c>
      <c r="AC36">
        <f>68089</f>
        <v>68089</v>
      </c>
      <c r="AD36">
        <f>61912</f>
        <v>61912</v>
      </c>
      <c r="AE36">
        <f>55736</f>
        <v>55736</v>
      </c>
      <c r="AF36" s="18">
        <f>90716</f>
        <v>90716</v>
      </c>
      <c r="AH36" s="17" t="s">
        <v>257</v>
      </c>
      <c r="AI36" s="22">
        <v>4009</v>
      </c>
      <c r="AJ36" s="22">
        <v>4701</v>
      </c>
      <c r="AK36" s="22">
        <v>4267</v>
      </c>
      <c r="AL36" s="22">
        <v>4621</v>
      </c>
      <c r="AM36" s="22">
        <v>5866</v>
      </c>
      <c r="AN36" s="22">
        <v>6710</v>
      </c>
      <c r="AO36" s="22">
        <f>Forecast!I36</f>
        <v>6387.9629999999997</v>
      </c>
      <c r="AP36" t="s">
        <v>251</v>
      </c>
      <c r="AQ36">
        <v>0</v>
      </c>
      <c r="AR36">
        <v>0</v>
      </c>
      <c r="AS36">
        <f>1500</f>
        <v>1500</v>
      </c>
      <c r="AT36">
        <f>2900</f>
        <v>2900</v>
      </c>
      <c r="AU36">
        <f>7000</f>
        <v>7000</v>
      </c>
      <c r="AV36" s="18">
        <f>0</f>
        <v>0</v>
      </c>
      <c r="AX36" s="17" t="s">
        <v>257</v>
      </c>
      <c r="AY36">
        <f t="shared" ref="AY36:BD36" si="41">AI36</f>
        <v>4009</v>
      </c>
      <c r="AZ36">
        <f t="shared" si="41"/>
        <v>4701</v>
      </c>
      <c r="BA36">
        <f t="shared" si="41"/>
        <v>4267</v>
      </c>
      <c r="BB36">
        <f t="shared" si="41"/>
        <v>4621</v>
      </c>
      <c r="BC36">
        <f t="shared" si="41"/>
        <v>5866</v>
      </c>
      <c r="BD36">
        <f t="shared" si="41"/>
        <v>6710</v>
      </c>
      <c r="BF36" s="17" t="s">
        <v>258</v>
      </c>
      <c r="BG36" s="22">
        <f>-C41</f>
        <v>-7916.4400000000005</v>
      </c>
      <c r="BH36" s="22">
        <f t="shared" ref="BH36:BL36" si="42">-D41</f>
        <v>-11783.5</v>
      </c>
      <c r="BI36" s="22">
        <f t="shared" si="42"/>
        <v>-15900.14</v>
      </c>
      <c r="BJ36" s="22">
        <f t="shared" si="42"/>
        <v>-20448.740000000002</v>
      </c>
      <c r="BK36" s="22">
        <f t="shared" si="42"/>
        <v>-6312.92</v>
      </c>
      <c r="BL36" s="22">
        <f t="shared" si="42"/>
        <v>-3986.7799999999997</v>
      </c>
    </row>
    <row r="37" spans="2:64" ht="15" thickBot="1">
      <c r="B37" s="5" t="s">
        <v>259</v>
      </c>
      <c r="C37" s="5">
        <f>C34+C35+C36</f>
        <v>86820</v>
      </c>
      <c r="D37" s="5">
        <f>D34+D35+D36</f>
        <v>81078</v>
      </c>
      <c r="E37" s="5">
        <f>E34+E36</f>
        <v>75605</v>
      </c>
      <c r="F37" s="5">
        <f>F34+F36</f>
        <v>72001</v>
      </c>
      <c r="G37" s="5">
        <f>G34+G36</f>
        <v>86210</v>
      </c>
      <c r="H37" s="5">
        <f>H34+H36</f>
        <v>112640</v>
      </c>
      <c r="J37" t="s">
        <v>260</v>
      </c>
      <c r="K37">
        <f>654</f>
        <v>654</v>
      </c>
      <c r="L37">
        <f>964</f>
        <v>964</v>
      </c>
      <c r="M37">
        <f>908</f>
        <v>908</v>
      </c>
      <c r="N37">
        <f>732</f>
        <v>732</v>
      </c>
      <c r="O37">
        <f>822</f>
        <v>822</v>
      </c>
      <c r="P37">
        <f>1175</f>
        <v>1175</v>
      </c>
      <c r="R37" s="17" t="s">
        <v>261</v>
      </c>
      <c r="S37">
        <f>C41</f>
        <v>7916.4400000000005</v>
      </c>
      <c r="T37">
        <f t="shared" ref="T37:X37" si="43">D41</f>
        <v>11783.5</v>
      </c>
      <c r="U37">
        <f t="shared" si="43"/>
        <v>15900.14</v>
      </c>
      <c r="V37">
        <f t="shared" si="43"/>
        <v>20448.740000000002</v>
      </c>
      <c r="W37">
        <f t="shared" si="43"/>
        <v>6312.92</v>
      </c>
      <c r="X37">
        <f t="shared" si="43"/>
        <v>3986.7799999999997</v>
      </c>
      <c r="Z37" t="s">
        <v>251</v>
      </c>
      <c r="AA37">
        <v>0</v>
      </c>
      <c r="AB37">
        <v>0</v>
      </c>
      <c r="AC37">
        <f>1500</f>
        <v>1500</v>
      </c>
      <c r="AD37">
        <f>2900</f>
        <v>2900</v>
      </c>
      <c r="AE37">
        <f>7000</f>
        <v>7000</v>
      </c>
      <c r="AF37" s="18">
        <f>0</f>
        <v>0</v>
      </c>
      <c r="AH37" s="17" t="s">
        <v>262</v>
      </c>
      <c r="AI37" s="22">
        <f t="shared" ref="AI37:AN37" si="44">C40</f>
        <v>1310.56</v>
      </c>
      <c r="AJ37" s="22">
        <f t="shared" si="44"/>
        <v>1392.5</v>
      </c>
      <c r="AK37" s="22">
        <f t="shared" si="44"/>
        <v>1267.8600000000001</v>
      </c>
      <c r="AL37" s="22">
        <f t="shared" si="44"/>
        <v>1444.26</v>
      </c>
      <c r="AM37" s="22">
        <f t="shared" si="44"/>
        <v>1480.08</v>
      </c>
      <c r="AN37" s="22">
        <f t="shared" si="44"/>
        <v>1846.22</v>
      </c>
      <c r="AO37" s="22">
        <f>Forecast!I38</f>
        <v>868.38699999999994</v>
      </c>
      <c r="AP37" s="5" t="s">
        <v>263</v>
      </c>
      <c r="AQ37" s="5">
        <f t="shared" ref="AQ37" si="45">AQ35+AQ36</f>
        <v>80442</v>
      </c>
      <c r="AR37" s="5">
        <f t="shared" ref="AR37" si="46">AR35+AR36</f>
        <v>74265</v>
      </c>
      <c r="AS37" s="5">
        <f t="shared" ref="AS37" si="47">AS35+AS36</f>
        <v>69589</v>
      </c>
      <c r="AT37" s="5">
        <f t="shared" ref="AT37" si="48">AT35+AT36</f>
        <v>64812</v>
      </c>
      <c r="AU37" s="5">
        <f t="shared" ref="AU37" si="49">AU35+AU36</f>
        <v>62736</v>
      </c>
      <c r="AV37" s="16">
        <f t="shared" ref="AV37" si="50">AV35+AV36</f>
        <v>90716</v>
      </c>
      <c r="AX37" s="17" t="s">
        <v>264</v>
      </c>
      <c r="AY37" s="22">
        <f>C40</f>
        <v>1310.56</v>
      </c>
      <c r="AZ37" s="22">
        <f t="shared" ref="AZ37:BD37" si="51">D40</f>
        <v>1392.5</v>
      </c>
      <c r="BA37" s="22">
        <f t="shared" si="51"/>
        <v>1267.8600000000001</v>
      </c>
      <c r="BB37" s="22">
        <f t="shared" si="51"/>
        <v>1444.26</v>
      </c>
      <c r="BC37" s="22">
        <f t="shared" si="51"/>
        <v>1480.08</v>
      </c>
      <c r="BD37" s="22">
        <f t="shared" si="51"/>
        <v>1846.22</v>
      </c>
      <c r="BF37" s="17" t="s">
        <v>265</v>
      </c>
      <c r="BG37">
        <f t="shared" ref="BG37:BL37" si="52">-AI49</f>
        <v>-1</v>
      </c>
      <c r="BH37">
        <f t="shared" si="52"/>
        <v>-1</v>
      </c>
      <c r="BI37">
        <f t="shared" si="52"/>
        <v>-1</v>
      </c>
      <c r="BJ37">
        <f t="shared" si="52"/>
        <v>-1</v>
      </c>
      <c r="BK37">
        <f t="shared" si="52"/>
        <v>-1</v>
      </c>
      <c r="BL37">
        <f t="shared" si="52"/>
        <v>-1</v>
      </c>
    </row>
    <row r="38" spans="2:64" ht="15" thickBot="1">
      <c r="B38" t="s">
        <v>257</v>
      </c>
      <c r="C38">
        <v>4009</v>
      </c>
      <c r="D38">
        <v>4701</v>
      </c>
      <c r="E38">
        <v>4267</v>
      </c>
      <c r="F38">
        <v>4621</v>
      </c>
      <c r="G38">
        <v>5866</v>
      </c>
      <c r="H38">
        <v>6710</v>
      </c>
      <c r="J38" t="s">
        <v>251</v>
      </c>
      <c r="K38">
        <v>0</v>
      </c>
      <c r="L38">
        <v>0</v>
      </c>
      <c r="M38">
        <f>1500</f>
        <v>1500</v>
      </c>
      <c r="N38">
        <f>2900</f>
        <v>2900</v>
      </c>
      <c r="O38">
        <f>7000</f>
        <v>7000</v>
      </c>
      <c r="P38">
        <f>0</f>
        <v>0</v>
      </c>
      <c r="R38" s="17" t="s">
        <v>265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Z38" s="5" t="s">
        <v>263</v>
      </c>
      <c r="AA38" s="5">
        <f t="shared" ref="AA38:AF38" si="53">AA36+AA37</f>
        <v>80442</v>
      </c>
      <c r="AB38" s="5">
        <f t="shared" si="53"/>
        <v>74265</v>
      </c>
      <c r="AC38" s="5">
        <f t="shared" si="53"/>
        <v>69589</v>
      </c>
      <c r="AD38" s="5">
        <f t="shared" si="53"/>
        <v>64812</v>
      </c>
      <c r="AE38" s="5">
        <f t="shared" si="53"/>
        <v>62736</v>
      </c>
      <c r="AF38" s="16">
        <f t="shared" si="53"/>
        <v>90716</v>
      </c>
      <c r="AH38" s="17" t="s">
        <v>266</v>
      </c>
      <c r="AI38" s="22">
        <v>2820</v>
      </c>
      <c r="AJ38" s="22">
        <v>2359</v>
      </c>
      <c r="AK38" s="22">
        <v>1888</v>
      </c>
      <c r="AL38" s="22">
        <v>1884</v>
      </c>
      <c r="AM38" s="22">
        <v>2170</v>
      </c>
      <c r="AN38" s="22">
        <v>12972</v>
      </c>
      <c r="AO38" s="22">
        <f>Forecast!I37</f>
        <v>19073.912</v>
      </c>
      <c r="AX38" s="17" t="s">
        <v>266</v>
      </c>
      <c r="AY38">
        <f t="shared" ref="AY38:BD42" si="54">AI38</f>
        <v>2820</v>
      </c>
      <c r="AZ38">
        <f t="shared" si="54"/>
        <v>2359</v>
      </c>
      <c r="BA38">
        <f t="shared" si="54"/>
        <v>1888</v>
      </c>
      <c r="BB38">
        <f t="shared" si="54"/>
        <v>1884</v>
      </c>
      <c r="BC38">
        <f t="shared" si="54"/>
        <v>2170</v>
      </c>
      <c r="BD38">
        <f t="shared" si="54"/>
        <v>12972</v>
      </c>
      <c r="BF38" s="5" t="s">
        <v>267</v>
      </c>
      <c r="BG38" s="5">
        <f t="shared" ref="BG38:BL38" si="55">SUM(BG33:BG37)</f>
        <v>72523.56</v>
      </c>
      <c r="BH38" s="5">
        <f t="shared" si="55"/>
        <v>62207.5</v>
      </c>
      <c r="BI38" s="5">
        <f t="shared" si="55"/>
        <v>53454.86</v>
      </c>
      <c r="BJ38" s="5">
        <f t="shared" si="55"/>
        <v>44168.259999999995</v>
      </c>
      <c r="BK38" s="5">
        <f t="shared" si="55"/>
        <v>56267.08</v>
      </c>
      <c r="BL38" s="5">
        <f t="shared" si="55"/>
        <v>86612.22</v>
      </c>
    </row>
    <row r="39" spans="2:64" ht="15" thickBot="1">
      <c r="B39" t="s">
        <v>266</v>
      </c>
      <c r="C39">
        <v>2820</v>
      </c>
      <c r="D39">
        <v>2359</v>
      </c>
      <c r="E39">
        <v>1888</v>
      </c>
      <c r="F39">
        <v>1884</v>
      </c>
      <c r="G39">
        <v>2170</v>
      </c>
      <c r="H39">
        <v>12972</v>
      </c>
      <c r="J39" t="s">
        <v>268</v>
      </c>
      <c r="K39">
        <f>2813</f>
        <v>2813</v>
      </c>
      <c r="L39">
        <f>2092</f>
        <v>2092</v>
      </c>
      <c r="M39">
        <f>1649</f>
        <v>1649</v>
      </c>
      <c r="N39">
        <f>2138</f>
        <v>2138</v>
      </c>
      <c r="O39">
        <f>2747</f>
        <v>2747</v>
      </c>
      <c r="P39">
        <f>7610</f>
        <v>7610</v>
      </c>
      <c r="R39" s="15" t="s">
        <v>269</v>
      </c>
      <c r="S39" s="23">
        <f t="shared" ref="S39:X39" si="56">SUM(S36:S38)</f>
        <v>7918.4400000000005</v>
      </c>
      <c r="T39" s="23">
        <f t="shared" si="56"/>
        <v>12057.5</v>
      </c>
      <c r="U39" s="23">
        <f t="shared" si="56"/>
        <v>16134.14</v>
      </c>
      <c r="V39" s="23">
        <f t="shared" si="56"/>
        <v>20643.740000000002</v>
      </c>
      <c r="W39" s="23">
        <f t="shared" si="56"/>
        <v>6468.92</v>
      </c>
      <c r="X39" s="23">
        <f t="shared" si="56"/>
        <v>4103.78</v>
      </c>
      <c r="Z39" t="s">
        <v>256</v>
      </c>
      <c r="AA39">
        <f>3289</f>
        <v>3289</v>
      </c>
      <c r="AB39">
        <f>4284</f>
        <v>4284</v>
      </c>
      <c r="AC39">
        <f>4121</f>
        <v>4121</v>
      </c>
      <c r="AD39">
        <f>5466</f>
        <v>5466</v>
      </c>
      <c r="AE39">
        <f>5777</f>
        <v>5777</v>
      </c>
      <c r="AF39" s="18">
        <f>8520</f>
        <v>8520</v>
      </c>
      <c r="AH39" t="s">
        <v>256</v>
      </c>
      <c r="AI39" s="22">
        <f t="shared" ref="AI39:AN42" si="57">-AA39</f>
        <v>-3289</v>
      </c>
      <c r="AJ39" s="22">
        <f t="shared" si="57"/>
        <v>-4284</v>
      </c>
      <c r="AK39" s="22">
        <f t="shared" si="57"/>
        <v>-4121</v>
      </c>
      <c r="AL39" s="22">
        <f t="shared" si="57"/>
        <v>-5466</v>
      </c>
      <c r="AM39" s="22">
        <f t="shared" si="57"/>
        <v>-5777</v>
      </c>
      <c r="AN39" s="22">
        <f t="shared" si="57"/>
        <v>-8520</v>
      </c>
      <c r="AO39" s="22">
        <f>Forecast!I52*-1</f>
        <v>-10638.789000000001</v>
      </c>
      <c r="AP39" s="5" t="s">
        <v>270</v>
      </c>
      <c r="AQ39" s="5">
        <f>AQ37+AQ32</f>
        <v>96121</v>
      </c>
      <c r="AR39" s="5">
        <f t="shared" ref="AR39:AV39" si="58">AR37+AR32</f>
        <v>93974</v>
      </c>
      <c r="AS39" s="5">
        <f t="shared" si="58"/>
        <v>91317</v>
      </c>
      <c r="AT39" s="5">
        <f t="shared" si="58"/>
        <v>89473</v>
      </c>
      <c r="AU39" s="5">
        <f t="shared" si="58"/>
        <v>89147</v>
      </c>
      <c r="AV39" s="5">
        <f t="shared" si="58"/>
        <v>119257</v>
      </c>
      <c r="AX39" t="s">
        <v>256</v>
      </c>
      <c r="AY39">
        <f t="shared" si="54"/>
        <v>-3289</v>
      </c>
      <c r="AZ39">
        <f t="shared" si="54"/>
        <v>-4284</v>
      </c>
      <c r="BA39">
        <f t="shared" si="54"/>
        <v>-4121</v>
      </c>
      <c r="BB39">
        <f t="shared" si="54"/>
        <v>-5466</v>
      </c>
      <c r="BC39">
        <f t="shared" si="54"/>
        <v>-5777</v>
      </c>
      <c r="BD39">
        <f t="shared" si="54"/>
        <v>-8520</v>
      </c>
    </row>
    <row r="40" spans="2:64" ht="15" thickBot="1">
      <c r="B40" t="s">
        <v>262</v>
      </c>
      <c r="C40" s="22">
        <f t="shared" ref="C40:H40" si="59">C5*0.02</f>
        <v>1310.56</v>
      </c>
      <c r="D40" s="22">
        <f t="shared" si="59"/>
        <v>1392.5</v>
      </c>
      <c r="E40" s="22">
        <f t="shared" si="59"/>
        <v>1267.8600000000001</v>
      </c>
      <c r="F40" s="22">
        <f t="shared" si="59"/>
        <v>1444.26</v>
      </c>
      <c r="G40" s="22">
        <f t="shared" si="59"/>
        <v>1480.08</v>
      </c>
      <c r="H40" s="22">
        <f t="shared" si="59"/>
        <v>1846.22</v>
      </c>
      <c r="J40" t="s">
        <v>271</v>
      </c>
      <c r="K40">
        <v>0</v>
      </c>
      <c r="L40">
        <v>0</v>
      </c>
      <c r="M40">
        <v>0</v>
      </c>
      <c r="N40">
        <v>1513</v>
      </c>
      <c r="O40">
        <v>2554</v>
      </c>
      <c r="P40">
        <v>447</v>
      </c>
      <c r="R40" t="str">
        <f>B40</f>
        <v>Operasjonelle kontanter (O)</v>
      </c>
      <c r="S40">
        <f t="shared" ref="S40:X40" si="60">C40</f>
        <v>1310.56</v>
      </c>
      <c r="T40">
        <f t="shared" si="60"/>
        <v>1392.5</v>
      </c>
      <c r="U40">
        <f t="shared" si="60"/>
        <v>1267.8600000000001</v>
      </c>
      <c r="V40">
        <f t="shared" si="60"/>
        <v>1444.26</v>
      </c>
      <c r="W40">
        <f t="shared" si="60"/>
        <v>1480.08</v>
      </c>
      <c r="X40">
        <f t="shared" si="60"/>
        <v>1846.22</v>
      </c>
      <c r="Z40" t="s">
        <v>260</v>
      </c>
      <c r="AA40">
        <f>654</f>
        <v>654</v>
      </c>
      <c r="AB40">
        <f>964</f>
        <v>964</v>
      </c>
      <c r="AC40">
        <f>908</f>
        <v>908</v>
      </c>
      <c r="AD40">
        <f>732</f>
        <v>732</v>
      </c>
      <c r="AE40">
        <f>822</f>
        <v>822</v>
      </c>
      <c r="AF40" s="18">
        <f>1175</f>
        <v>1175</v>
      </c>
      <c r="AH40" t="s">
        <v>260</v>
      </c>
      <c r="AI40" s="22">
        <f t="shared" si="57"/>
        <v>-654</v>
      </c>
      <c r="AJ40" s="22">
        <f t="shared" si="57"/>
        <v>-964</v>
      </c>
      <c r="AK40" s="22">
        <f t="shared" si="57"/>
        <v>-908</v>
      </c>
      <c r="AL40" s="22">
        <f t="shared" si="57"/>
        <v>-732</v>
      </c>
      <c r="AM40" s="22">
        <f t="shared" si="57"/>
        <v>-822</v>
      </c>
      <c r="AN40" s="22">
        <f t="shared" si="57"/>
        <v>-1175</v>
      </c>
      <c r="AO40" s="22">
        <f>Forecast!I53*-1</f>
        <v>-270.52</v>
      </c>
      <c r="AX40" t="s">
        <v>260</v>
      </c>
      <c r="AY40">
        <f t="shared" si="54"/>
        <v>-654</v>
      </c>
      <c r="AZ40">
        <f t="shared" si="54"/>
        <v>-964</v>
      </c>
      <c r="BA40">
        <f t="shared" si="54"/>
        <v>-908</v>
      </c>
      <c r="BB40">
        <f t="shared" si="54"/>
        <v>-732</v>
      </c>
      <c r="BC40">
        <f t="shared" si="54"/>
        <v>-822</v>
      </c>
      <c r="BD40">
        <f t="shared" si="54"/>
        <v>-1175</v>
      </c>
      <c r="BF40" s="5" t="s">
        <v>272</v>
      </c>
      <c r="BG40" s="23">
        <f t="shared" ref="BG40:BL40" si="61">BG32+BG38</f>
        <v>88202.559999999998</v>
      </c>
      <c r="BH40" s="23">
        <f t="shared" si="61"/>
        <v>81916.5</v>
      </c>
      <c r="BI40" s="23">
        <f t="shared" si="61"/>
        <v>75182.86</v>
      </c>
      <c r="BJ40" s="23">
        <f t="shared" si="61"/>
        <v>68829.259999999995</v>
      </c>
      <c r="BK40" s="23">
        <f t="shared" si="61"/>
        <v>82678.080000000002</v>
      </c>
      <c r="BL40" s="23">
        <f t="shared" si="61"/>
        <v>115153.22</v>
      </c>
    </row>
    <row r="41" spans="2:64">
      <c r="B41" t="s">
        <v>258</v>
      </c>
      <c r="C41" s="22">
        <f>9227-C40</f>
        <v>7916.4400000000005</v>
      </c>
      <c r="D41" s="22">
        <f>13176-D40</f>
        <v>11783.5</v>
      </c>
      <c r="E41" s="22">
        <f>17168-E40</f>
        <v>15900.14</v>
      </c>
      <c r="F41" s="22">
        <f>21893-F40</f>
        <v>20448.740000000002</v>
      </c>
      <c r="G41" s="22">
        <f>7793-G40</f>
        <v>6312.92</v>
      </c>
      <c r="H41" s="22">
        <f>5833-H40</f>
        <v>3986.7799999999997</v>
      </c>
      <c r="J41" s="8" t="s">
        <v>273</v>
      </c>
      <c r="K41" s="8">
        <f>SUM(K36:K39)</f>
        <v>6756</v>
      </c>
      <c r="L41" s="8">
        <f>SUM(L36:L39)</f>
        <v>7340</v>
      </c>
      <c r="M41" s="8">
        <f>SUM(M36:M39)</f>
        <v>8178</v>
      </c>
      <c r="N41" s="8">
        <f>SUM(N36:N40)</f>
        <v>12749</v>
      </c>
      <c r="O41" s="8">
        <f t="shared" ref="O41:P41" si="62">SUM(O36:O40)</f>
        <v>18900</v>
      </c>
      <c r="P41" s="8">
        <f t="shared" si="62"/>
        <v>17752</v>
      </c>
      <c r="R41" s="17" t="s">
        <v>257</v>
      </c>
      <c r="S41">
        <v>4009</v>
      </c>
      <c r="T41">
        <v>4701</v>
      </c>
      <c r="U41">
        <v>4267</v>
      </c>
      <c r="V41">
        <v>4621</v>
      </c>
      <c r="W41">
        <v>5866</v>
      </c>
      <c r="X41">
        <v>6710</v>
      </c>
      <c r="Z41" t="s">
        <v>268</v>
      </c>
      <c r="AA41">
        <f>2813</f>
        <v>2813</v>
      </c>
      <c r="AB41">
        <f>2092</f>
        <v>2092</v>
      </c>
      <c r="AC41">
        <f>1649</f>
        <v>1649</v>
      </c>
      <c r="AD41">
        <f>2138</f>
        <v>2138</v>
      </c>
      <c r="AE41">
        <f>2747</f>
        <v>2747</v>
      </c>
      <c r="AF41" s="18">
        <f>7610</f>
        <v>7610</v>
      </c>
      <c r="AH41" t="s">
        <v>268</v>
      </c>
      <c r="AI41" s="22">
        <f t="shared" si="57"/>
        <v>-2813</v>
      </c>
      <c r="AJ41" s="22">
        <f t="shared" si="57"/>
        <v>-2092</v>
      </c>
      <c r="AK41" s="22">
        <f t="shared" si="57"/>
        <v>-1649</v>
      </c>
      <c r="AL41" s="22">
        <f t="shared" si="57"/>
        <v>-2138</v>
      </c>
      <c r="AM41" s="22">
        <f t="shared" si="57"/>
        <v>-2747</v>
      </c>
      <c r="AN41" s="22">
        <f t="shared" si="57"/>
        <v>-7610</v>
      </c>
      <c r="AO41" s="22">
        <f>Forecast!I55*-1</f>
        <v>-4475.05</v>
      </c>
      <c r="AX41" t="s">
        <v>268</v>
      </c>
      <c r="AY41">
        <f t="shared" si="54"/>
        <v>-2813</v>
      </c>
      <c r="AZ41">
        <f t="shared" si="54"/>
        <v>-2092</v>
      </c>
      <c r="BA41">
        <f t="shared" si="54"/>
        <v>-1649</v>
      </c>
      <c r="BB41">
        <f t="shared" si="54"/>
        <v>-2138</v>
      </c>
      <c r="BC41">
        <f t="shared" si="54"/>
        <v>-2747</v>
      </c>
      <c r="BD41">
        <f t="shared" si="54"/>
        <v>-7610</v>
      </c>
    </row>
    <row r="42" spans="2:64" ht="15" thickBot="1">
      <c r="B42" t="s">
        <v>265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J42" s="13" t="s">
        <v>274</v>
      </c>
      <c r="K42" s="13">
        <f>K41+K35</f>
        <v>87198</v>
      </c>
      <c r="L42" s="13">
        <f t="shared" ref="L42:P42" si="63">L41+L35</f>
        <v>81605</v>
      </c>
      <c r="M42" s="13">
        <f t="shared" si="63"/>
        <v>77201</v>
      </c>
      <c r="N42" s="13">
        <f t="shared" si="63"/>
        <v>75737</v>
      </c>
      <c r="O42" s="13">
        <f t="shared" si="63"/>
        <v>75629</v>
      </c>
      <c r="P42" s="13">
        <f t="shared" si="63"/>
        <v>109615</v>
      </c>
      <c r="R42" s="17" t="s">
        <v>266</v>
      </c>
      <c r="S42">
        <v>2820</v>
      </c>
      <c r="T42">
        <v>2359</v>
      </c>
      <c r="U42">
        <v>1888</v>
      </c>
      <c r="V42">
        <v>1884</v>
      </c>
      <c r="W42">
        <v>2170</v>
      </c>
      <c r="X42">
        <v>12972</v>
      </c>
      <c r="Z42" t="s">
        <v>271</v>
      </c>
      <c r="AA42">
        <v>0</v>
      </c>
      <c r="AB42">
        <v>0</v>
      </c>
      <c r="AC42">
        <v>0</v>
      </c>
      <c r="AD42">
        <v>1513</v>
      </c>
      <c r="AE42">
        <v>2554</v>
      </c>
      <c r="AF42" s="18">
        <v>447</v>
      </c>
      <c r="AH42" t="s">
        <v>271</v>
      </c>
      <c r="AI42" s="22">
        <f t="shared" si="57"/>
        <v>0</v>
      </c>
      <c r="AJ42" s="22">
        <f t="shared" si="57"/>
        <v>0</v>
      </c>
      <c r="AK42" s="22">
        <f t="shared" si="57"/>
        <v>0</v>
      </c>
      <c r="AL42" s="22">
        <f>-AD42</f>
        <v>-1513</v>
      </c>
      <c r="AM42" s="22">
        <f t="shared" si="57"/>
        <v>-2554</v>
      </c>
      <c r="AN42" s="22">
        <f t="shared" si="57"/>
        <v>-447</v>
      </c>
      <c r="AO42" s="22">
        <f>Forecast!I56*-1</f>
        <v>-3576.538</v>
      </c>
      <c r="AX42" t="s">
        <v>271</v>
      </c>
      <c r="AY42">
        <f t="shared" si="54"/>
        <v>0</v>
      </c>
      <c r="AZ42">
        <f t="shared" si="54"/>
        <v>0</v>
      </c>
      <c r="BA42">
        <f t="shared" si="54"/>
        <v>0</v>
      </c>
      <c r="BB42">
        <f t="shared" si="54"/>
        <v>-1513</v>
      </c>
      <c r="BC42">
        <f t="shared" si="54"/>
        <v>-2554</v>
      </c>
      <c r="BD42">
        <f t="shared" si="54"/>
        <v>-447</v>
      </c>
    </row>
    <row r="43" spans="2:64" ht="15" thickBot="1">
      <c r="B43" s="8" t="s">
        <v>275</v>
      </c>
      <c r="C43" s="8">
        <f t="shared" ref="C43:H43" si="64">SUM(C38:C42)</f>
        <v>16057</v>
      </c>
      <c r="D43" s="8">
        <f t="shared" si="64"/>
        <v>20237</v>
      </c>
      <c r="E43" s="8">
        <f t="shared" si="64"/>
        <v>23324</v>
      </c>
      <c r="F43" s="8">
        <f t="shared" si="64"/>
        <v>28399</v>
      </c>
      <c r="G43" s="8">
        <f t="shared" si="64"/>
        <v>15830</v>
      </c>
      <c r="H43" s="8">
        <f t="shared" si="64"/>
        <v>25516</v>
      </c>
      <c r="R43" s="15" t="s">
        <v>276</v>
      </c>
      <c r="S43" s="5">
        <f>SUM(S40:S42)</f>
        <v>8139.5599999999995</v>
      </c>
      <c r="T43" s="5">
        <f t="shared" ref="T43:X43" si="65">SUM(T40:T42)</f>
        <v>8452.5</v>
      </c>
      <c r="U43" s="5">
        <f t="shared" si="65"/>
        <v>7422.8600000000006</v>
      </c>
      <c r="V43" s="5">
        <f t="shared" si="65"/>
        <v>7949.26</v>
      </c>
      <c r="W43" s="5">
        <f t="shared" si="65"/>
        <v>9516.08</v>
      </c>
      <c r="X43" s="5">
        <f t="shared" si="65"/>
        <v>21528.22</v>
      </c>
      <c r="Z43" s="5" t="s">
        <v>277</v>
      </c>
      <c r="AA43" s="5">
        <f t="shared" ref="AA43:AF43" si="66">AA39+AA40+AA41+AA42</f>
        <v>6756</v>
      </c>
      <c r="AB43" s="5">
        <f t="shared" si="66"/>
        <v>7340</v>
      </c>
      <c r="AC43" s="5">
        <f t="shared" si="66"/>
        <v>6678</v>
      </c>
      <c r="AD43" s="5">
        <f t="shared" si="66"/>
        <v>9849</v>
      </c>
      <c r="AE43" s="5">
        <f t="shared" si="66"/>
        <v>11900</v>
      </c>
      <c r="AF43" s="16">
        <f t="shared" si="66"/>
        <v>17752</v>
      </c>
      <c r="AH43" s="5" t="s">
        <v>36</v>
      </c>
      <c r="AI43" s="23">
        <f>SUM(AI36:AI42)</f>
        <v>1383.5599999999995</v>
      </c>
      <c r="AJ43" s="23">
        <f t="shared" ref="AJ43:AO43" si="67">SUM(AJ36:AJ42)</f>
        <v>1112.5</v>
      </c>
      <c r="AK43" s="23">
        <f t="shared" si="67"/>
        <v>744.86000000000058</v>
      </c>
      <c r="AL43" s="23">
        <f t="shared" si="67"/>
        <v>-1899.7399999999998</v>
      </c>
      <c r="AM43" s="23">
        <f t="shared" si="67"/>
        <v>-2383.92</v>
      </c>
      <c r="AN43" s="23">
        <f t="shared" si="67"/>
        <v>3776.2200000000012</v>
      </c>
      <c r="AO43" s="23">
        <f t="shared" si="67"/>
        <v>7369.364999999998</v>
      </c>
      <c r="AX43" s="5" t="s">
        <v>36</v>
      </c>
      <c r="AY43" s="5">
        <f>SUM(AY36:AY42)</f>
        <v>1383.5599999999995</v>
      </c>
      <c r="AZ43" s="5">
        <f t="shared" ref="AZ43:BD43" si="68">SUM(AZ36:AZ42)</f>
        <v>1112.5</v>
      </c>
      <c r="BA43" s="5">
        <f t="shared" si="68"/>
        <v>744.86000000000058</v>
      </c>
      <c r="BB43" s="5">
        <f t="shared" si="68"/>
        <v>-1899.7399999999998</v>
      </c>
      <c r="BC43" s="5">
        <f t="shared" si="68"/>
        <v>-2383.92</v>
      </c>
      <c r="BD43" s="5">
        <f t="shared" si="68"/>
        <v>3776.2200000000012</v>
      </c>
    </row>
    <row r="44" spans="2:64" ht="15" thickBot="1">
      <c r="B44" s="5" t="s">
        <v>278</v>
      </c>
      <c r="C44" s="5">
        <f>C43+C37</f>
        <v>102877</v>
      </c>
      <c r="D44" s="5">
        <f t="shared" ref="D44:H44" si="69">D37+D43</f>
        <v>101315</v>
      </c>
      <c r="E44" s="5">
        <f t="shared" si="69"/>
        <v>98929</v>
      </c>
      <c r="F44" s="5">
        <f t="shared" si="69"/>
        <v>100400</v>
      </c>
      <c r="G44" s="5">
        <f t="shared" si="69"/>
        <v>102040</v>
      </c>
      <c r="H44" s="5">
        <f t="shared" si="69"/>
        <v>138156</v>
      </c>
      <c r="J44" s="5" t="s">
        <v>279</v>
      </c>
      <c r="K44" s="5">
        <f>K42+K32</f>
        <v>102877</v>
      </c>
      <c r="L44" s="5">
        <f>L42+L32</f>
        <v>101314</v>
      </c>
      <c r="M44" s="5">
        <f>M42+M32</f>
        <v>98929</v>
      </c>
      <c r="N44" s="5">
        <f>N32+N42</f>
        <v>100398</v>
      </c>
      <c r="O44" s="5">
        <f>O32+O42</f>
        <v>102040</v>
      </c>
      <c r="P44" s="5">
        <f>P32+P42</f>
        <v>138156</v>
      </c>
      <c r="R44" s="17"/>
      <c r="AF44" s="18"/>
      <c r="AI44" s="22"/>
      <c r="AJ44" s="22"/>
      <c r="AK44" s="22"/>
      <c r="AL44" s="22"/>
      <c r="AM44" s="22"/>
      <c r="AN44" s="22"/>
      <c r="AO44" s="22"/>
    </row>
    <row r="45" spans="2:64" ht="15" thickBot="1">
      <c r="R45" s="15" t="s">
        <v>280</v>
      </c>
      <c r="S45" s="5">
        <f t="shared" ref="S45:X45" si="70">S35+S39+S43</f>
        <v>102877</v>
      </c>
      <c r="T45" s="5">
        <f t="shared" si="70"/>
        <v>101315</v>
      </c>
      <c r="U45" s="5">
        <f t="shared" si="70"/>
        <v>98929</v>
      </c>
      <c r="V45" s="5">
        <f t="shared" si="70"/>
        <v>100400</v>
      </c>
      <c r="W45" s="5">
        <f t="shared" si="70"/>
        <v>102040</v>
      </c>
      <c r="X45" s="5">
        <f t="shared" si="70"/>
        <v>138156</v>
      </c>
      <c r="Y45" s="20"/>
      <c r="Z45" s="14" t="s">
        <v>281</v>
      </c>
      <c r="AA45" s="14">
        <f t="shared" ref="AA45:AF45" si="71">AA33+AA35+AA38+AA43</f>
        <v>102877</v>
      </c>
      <c r="AB45" s="14">
        <f t="shared" si="71"/>
        <v>101314</v>
      </c>
      <c r="AC45" s="14">
        <f t="shared" si="71"/>
        <v>98929</v>
      </c>
      <c r="AD45" s="14">
        <f t="shared" si="71"/>
        <v>100398</v>
      </c>
      <c r="AE45" s="14">
        <f t="shared" si="71"/>
        <v>102040</v>
      </c>
      <c r="AF45" s="21">
        <f t="shared" si="71"/>
        <v>138156</v>
      </c>
      <c r="AH45" s="5" t="s">
        <v>282</v>
      </c>
      <c r="AI45" s="23">
        <f t="shared" ref="AI45:AO45" si="72">AI35+AI43</f>
        <v>88202.559999999998</v>
      </c>
      <c r="AJ45" s="23">
        <f t="shared" si="72"/>
        <v>81917.5</v>
      </c>
      <c r="AK45" s="23">
        <f t="shared" si="72"/>
        <v>75182.86</v>
      </c>
      <c r="AL45" s="23">
        <f t="shared" si="72"/>
        <v>68831.259999999995</v>
      </c>
      <c r="AM45" s="23">
        <f t="shared" si="72"/>
        <v>82678.080000000002</v>
      </c>
      <c r="AN45" s="23">
        <f t="shared" si="72"/>
        <v>115153.22</v>
      </c>
      <c r="AO45" s="23">
        <f t="shared" si="72"/>
        <v>120750.98599999998</v>
      </c>
      <c r="AX45" s="5" t="s">
        <v>283</v>
      </c>
      <c r="AY45" s="23">
        <f t="shared" ref="AY45:BD45" si="73">AY35+AY43</f>
        <v>88202.559999999998</v>
      </c>
      <c r="AZ45" s="23">
        <f t="shared" si="73"/>
        <v>81917.5</v>
      </c>
      <c r="BA45" s="23">
        <f t="shared" si="73"/>
        <v>75182.86</v>
      </c>
      <c r="BB45" s="23">
        <f t="shared" si="73"/>
        <v>68831.259999999995</v>
      </c>
      <c r="BC45" s="23">
        <f t="shared" si="73"/>
        <v>82678.080000000002</v>
      </c>
      <c r="BD45" s="23">
        <f t="shared" si="73"/>
        <v>115153.22</v>
      </c>
    </row>
    <row r="46" spans="2:64">
      <c r="R46" s="19"/>
      <c r="S46" s="20"/>
      <c r="T46" s="20"/>
      <c r="U46" s="20"/>
      <c r="V46" s="20"/>
      <c r="W46" s="20"/>
      <c r="X46" s="20"/>
    </row>
    <row r="47" spans="2:64" ht="15" thickBot="1">
      <c r="B47" s="40"/>
      <c r="C47" s="40">
        <v>2016</v>
      </c>
      <c r="D47" s="40">
        <v>2017</v>
      </c>
      <c r="E47" s="40">
        <v>2018</v>
      </c>
      <c r="F47" s="40">
        <v>2019</v>
      </c>
      <c r="G47" s="40">
        <v>2020</v>
      </c>
      <c r="H47" s="40">
        <v>2021</v>
      </c>
      <c r="I47" s="40">
        <f>2022</f>
        <v>2022</v>
      </c>
      <c r="AH47" s="17" t="s">
        <v>255</v>
      </c>
      <c r="AI47">
        <v>1</v>
      </c>
      <c r="AJ47">
        <f>273</f>
        <v>273</v>
      </c>
      <c r="AK47">
        <f>233</f>
        <v>233</v>
      </c>
      <c r="AL47">
        <f>194</f>
        <v>194</v>
      </c>
      <c r="AM47">
        <f>155</f>
        <v>155</v>
      </c>
      <c r="AN47">
        <f>116</f>
        <v>116</v>
      </c>
    </row>
    <row r="48" spans="2:64">
      <c r="B48" t="str">
        <f>B40</f>
        <v>Operasjonelle kontanter (O)</v>
      </c>
      <c r="C48" s="22">
        <f>C40</f>
        <v>1310.56</v>
      </c>
      <c r="D48" s="22">
        <f t="shared" ref="D48:H48" si="74">D40</f>
        <v>1392.5</v>
      </c>
      <c r="E48" s="22">
        <f t="shared" si="74"/>
        <v>1267.8600000000001</v>
      </c>
      <c r="F48" s="22">
        <f t="shared" si="74"/>
        <v>1444.26</v>
      </c>
      <c r="G48" s="22">
        <f t="shared" si="74"/>
        <v>1480.08</v>
      </c>
      <c r="H48" s="22">
        <f t="shared" si="74"/>
        <v>1846.22</v>
      </c>
      <c r="I48" s="22">
        <f>I5*0.02</f>
        <v>2531.9363000000003</v>
      </c>
      <c r="AH48" s="17" t="s">
        <v>258</v>
      </c>
      <c r="AI48" s="22">
        <f>C41</f>
        <v>7916.4400000000005</v>
      </c>
      <c r="AJ48" s="22">
        <f t="shared" ref="AJ48:AN48" si="75">D41</f>
        <v>11783.5</v>
      </c>
      <c r="AK48" s="22">
        <f t="shared" si="75"/>
        <v>15900.14</v>
      </c>
      <c r="AL48" s="22">
        <f t="shared" si="75"/>
        <v>20448.740000000002</v>
      </c>
      <c r="AM48" s="22">
        <f t="shared" si="75"/>
        <v>6312.92</v>
      </c>
      <c r="AN48" s="22">
        <f t="shared" si="75"/>
        <v>3986.7799999999997</v>
      </c>
      <c r="AX48" t="s">
        <v>36</v>
      </c>
      <c r="AY48">
        <f t="shared" ref="AY48:BD48" si="76">AY43</f>
        <v>1383.5599999999995</v>
      </c>
      <c r="AZ48">
        <f t="shared" si="76"/>
        <v>1112.5</v>
      </c>
      <c r="BA48">
        <f t="shared" si="76"/>
        <v>744.86000000000058</v>
      </c>
      <c r="BB48">
        <f t="shared" si="76"/>
        <v>-1899.7399999999998</v>
      </c>
      <c r="BC48">
        <f t="shared" si="76"/>
        <v>-2383.92</v>
      </c>
      <c r="BD48">
        <f t="shared" si="76"/>
        <v>3776.2200000000012</v>
      </c>
    </row>
    <row r="49" spans="2:52">
      <c r="B49" t="s">
        <v>37</v>
      </c>
      <c r="C49">
        <f t="shared" ref="C49:H50" si="77">C38</f>
        <v>4009</v>
      </c>
      <c r="D49">
        <f t="shared" si="77"/>
        <v>4701</v>
      </c>
      <c r="E49">
        <f t="shared" si="77"/>
        <v>4267</v>
      </c>
      <c r="F49">
        <f t="shared" si="77"/>
        <v>4621</v>
      </c>
      <c r="G49">
        <f t="shared" si="77"/>
        <v>5866</v>
      </c>
      <c r="H49">
        <f t="shared" si="77"/>
        <v>6710</v>
      </c>
      <c r="I49">
        <f>Forecast!I36</f>
        <v>6387.9629999999997</v>
      </c>
      <c r="AH49" s="17" t="s">
        <v>265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X49" t="s">
        <v>46</v>
      </c>
      <c r="AY49">
        <v>85481</v>
      </c>
      <c r="AZ49">
        <v>80743</v>
      </c>
    </row>
    <row r="50" spans="2:52">
      <c r="B50" t="s">
        <v>38</v>
      </c>
      <c r="C50">
        <f t="shared" si="77"/>
        <v>2820</v>
      </c>
      <c r="D50">
        <f t="shared" si="77"/>
        <v>2359</v>
      </c>
      <c r="E50">
        <f t="shared" si="77"/>
        <v>1888</v>
      </c>
      <c r="F50">
        <f t="shared" si="77"/>
        <v>1884</v>
      </c>
      <c r="G50">
        <f t="shared" si="77"/>
        <v>2170</v>
      </c>
      <c r="H50">
        <f t="shared" si="77"/>
        <v>12972</v>
      </c>
      <c r="I50">
        <f>Forecast!I37</f>
        <v>19073.912</v>
      </c>
      <c r="AH50" s="8" t="s">
        <v>269</v>
      </c>
      <c r="AI50" s="41">
        <f>SUM(AI47:AI49)</f>
        <v>7918.4400000000005</v>
      </c>
      <c r="AJ50" s="41">
        <f t="shared" ref="AJ50:AN50" si="78">SUM(AJ47:AJ49)</f>
        <v>12057.5</v>
      </c>
      <c r="AK50" s="41">
        <f t="shared" si="78"/>
        <v>16134.14</v>
      </c>
      <c r="AL50" s="41">
        <f t="shared" si="78"/>
        <v>20643.740000000002</v>
      </c>
      <c r="AM50" s="41">
        <f t="shared" si="78"/>
        <v>6468.92</v>
      </c>
      <c r="AN50" s="41">
        <f t="shared" si="78"/>
        <v>4103.78</v>
      </c>
      <c r="AX50" t="s">
        <v>247</v>
      </c>
      <c r="AY50">
        <v>1338</v>
      </c>
      <c r="AZ50">
        <v>62</v>
      </c>
    </row>
    <row r="51" spans="2:52" ht="15" thickBot="1">
      <c r="B51" s="5" t="s">
        <v>40</v>
      </c>
      <c r="C51" s="5">
        <f t="shared" ref="C51:H51" si="79">SUM(C48:C50)</f>
        <v>8139.5599999999995</v>
      </c>
      <c r="D51" s="5">
        <f t="shared" si="79"/>
        <v>8452.5</v>
      </c>
      <c r="E51" s="5">
        <f t="shared" si="79"/>
        <v>7422.8600000000006</v>
      </c>
      <c r="F51" s="5">
        <f t="shared" si="79"/>
        <v>7949.26</v>
      </c>
      <c r="G51" s="5">
        <f t="shared" si="79"/>
        <v>9516.08</v>
      </c>
      <c r="H51" s="5">
        <f t="shared" si="79"/>
        <v>21528.22</v>
      </c>
      <c r="I51" s="23">
        <f>SUM(I48:I50)</f>
        <v>27993.811300000001</v>
      </c>
      <c r="AH51" s="5" t="s">
        <v>284</v>
      </c>
      <c r="AI51" s="5">
        <f>AI50+AI45</f>
        <v>96121</v>
      </c>
      <c r="AJ51" s="5">
        <f t="shared" ref="AJ51:AN51" si="80">AJ50+AJ45</f>
        <v>93975</v>
      </c>
      <c r="AK51" s="5">
        <f t="shared" si="80"/>
        <v>91317</v>
      </c>
      <c r="AL51" s="5">
        <f t="shared" si="80"/>
        <v>89475</v>
      </c>
      <c r="AM51" s="5">
        <f t="shared" si="80"/>
        <v>89147</v>
      </c>
      <c r="AN51" s="5">
        <f t="shared" si="80"/>
        <v>119257</v>
      </c>
      <c r="AX51" t="s">
        <v>285</v>
      </c>
      <c r="AY51">
        <f>AY48+AY49+AY50</f>
        <v>88202.559999999998</v>
      </c>
      <c r="AZ51">
        <f>AZ48+AZ49+AZ50</f>
        <v>81917.5</v>
      </c>
    </row>
    <row r="52" spans="2:52">
      <c r="B52" t="s">
        <v>286</v>
      </c>
      <c r="C52">
        <f t="shared" ref="C52:H53" si="81">K36</f>
        <v>3289</v>
      </c>
      <c r="D52">
        <f t="shared" si="81"/>
        <v>4284</v>
      </c>
      <c r="E52">
        <f t="shared" si="81"/>
        <v>4121</v>
      </c>
      <c r="F52">
        <f t="shared" si="81"/>
        <v>5466</v>
      </c>
      <c r="G52">
        <f t="shared" si="81"/>
        <v>5777</v>
      </c>
      <c r="H52">
        <f t="shared" si="81"/>
        <v>8520</v>
      </c>
      <c r="I52">
        <f>Forecast!I52</f>
        <v>10638.789000000001</v>
      </c>
    </row>
    <row r="53" spans="2:52">
      <c r="B53" t="s">
        <v>287</v>
      </c>
      <c r="C53">
        <f>K37</f>
        <v>654</v>
      </c>
      <c r="D53">
        <f t="shared" si="81"/>
        <v>964</v>
      </c>
      <c r="E53">
        <f t="shared" si="81"/>
        <v>908</v>
      </c>
      <c r="F53">
        <f t="shared" si="81"/>
        <v>732</v>
      </c>
      <c r="G53">
        <f t="shared" si="81"/>
        <v>822</v>
      </c>
      <c r="H53">
        <f t="shared" si="81"/>
        <v>1175</v>
      </c>
      <c r="I53">
        <f>Forecast!I53</f>
        <v>270.52</v>
      </c>
    </row>
    <row r="54" spans="2:52">
      <c r="B54" t="s">
        <v>288</v>
      </c>
      <c r="C54">
        <f>K40</f>
        <v>0</v>
      </c>
      <c r="D54">
        <f t="shared" ref="D54:H54" si="82">L40</f>
        <v>0</v>
      </c>
      <c r="E54">
        <f t="shared" si="82"/>
        <v>0</v>
      </c>
      <c r="F54">
        <f t="shared" si="82"/>
        <v>1513</v>
      </c>
      <c r="G54">
        <f t="shared" si="82"/>
        <v>2554</v>
      </c>
      <c r="H54">
        <f t="shared" si="82"/>
        <v>447</v>
      </c>
      <c r="I54">
        <f>Forecast!I56</f>
        <v>3576.538</v>
      </c>
    </row>
    <row r="55" spans="2:52">
      <c r="B55" t="s">
        <v>289</v>
      </c>
      <c r="C55">
        <f t="shared" ref="C55:H55" si="83">K39</f>
        <v>2813</v>
      </c>
      <c r="D55">
        <f t="shared" si="83"/>
        <v>2092</v>
      </c>
      <c r="E55">
        <f t="shared" si="83"/>
        <v>1649</v>
      </c>
      <c r="F55">
        <f t="shared" si="83"/>
        <v>2138</v>
      </c>
      <c r="G55">
        <f t="shared" si="83"/>
        <v>2747</v>
      </c>
      <c r="H55">
        <f t="shared" si="83"/>
        <v>7610</v>
      </c>
      <c r="I55">
        <f>Forecast!I55</f>
        <v>4475.05</v>
      </c>
    </row>
    <row r="56" spans="2:52">
      <c r="B56" s="8" t="s">
        <v>44</v>
      </c>
      <c r="C56" s="8">
        <f>SUM(C52:C55)</f>
        <v>6756</v>
      </c>
      <c r="D56" s="8">
        <f t="shared" ref="D56:H56" si="84">SUM(D52:D55)</f>
        <v>7340</v>
      </c>
      <c r="E56" s="8">
        <f t="shared" si="84"/>
        <v>6678</v>
      </c>
      <c r="F56" s="8">
        <f t="shared" si="84"/>
        <v>9849</v>
      </c>
      <c r="G56" s="8">
        <f t="shared" si="84"/>
        <v>11900</v>
      </c>
      <c r="H56" s="8">
        <f t="shared" si="84"/>
        <v>17752</v>
      </c>
      <c r="I56" s="8">
        <f>SUM(I52:I55)</f>
        <v>18960.897000000001</v>
      </c>
    </row>
    <row r="57" spans="2:52" ht="15" thickBot="1">
      <c r="B57" s="5" t="s">
        <v>45</v>
      </c>
      <c r="C57" s="5">
        <f>C51-C56</f>
        <v>1383.5599999999995</v>
      </c>
      <c r="D57" s="5">
        <f t="shared" ref="D57:H57" si="85">D51-D56</f>
        <v>1112.5</v>
      </c>
      <c r="E57" s="5">
        <f t="shared" si="85"/>
        <v>744.86000000000058</v>
      </c>
      <c r="F57" s="5">
        <f t="shared" si="85"/>
        <v>-1899.7399999999998</v>
      </c>
      <c r="G57" s="5">
        <f t="shared" si="85"/>
        <v>-2383.92</v>
      </c>
      <c r="H57" s="5">
        <f t="shared" si="85"/>
        <v>3776.2200000000012</v>
      </c>
      <c r="I57" s="23">
        <f>I51-I56</f>
        <v>9032.9143000000004</v>
      </c>
    </row>
    <row r="59" spans="2:52">
      <c r="B59" t="s">
        <v>46</v>
      </c>
      <c r="C59">
        <f>C34</f>
        <v>85481</v>
      </c>
      <c r="D59">
        <f t="shared" ref="D59:H59" si="86">D34</f>
        <v>80743</v>
      </c>
      <c r="E59">
        <f t="shared" si="86"/>
        <v>75372</v>
      </c>
      <c r="F59">
        <f t="shared" si="86"/>
        <v>71807</v>
      </c>
      <c r="G59">
        <f t="shared" si="86"/>
        <v>86055</v>
      </c>
      <c r="H59">
        <f t="shared" si="86"/>
        <v>112524</v>
      </c>
    </row>
    <row r="60" spans="2:52">
      <c r="B60" t="s">
        <v>290</v>
      </c>
      <c r="C60">
        <f>C35</f>
        <v>1338</v>
      </c>
      <c r="D60">
        <f t="shared" ref="D60:H60" si="87">D35</f>
        <v>62</v>
      </c>
      <c r="E60">
        <f t="shared" si="87"/>
        <v>0</v>
      </c>
      <c r="F60">
        <f t="shared" si="87"/>
        <v>0</v>
      </c>
      <c r="G60">
        <f t="shared" si="87"/>
        <v>0</v>
      </c>
      <c r="H60">
        <f t="shared" si="87"/>
        <v>0</v>
      </c>
    </row>
    <row r="61" spans="2:52">
      <c r="B61" s="11" t="s">
        <v>48</v>
      </c>
      <c r="C61" s="11">
        <f>C57+C60+C59</f>
        <v>88202.559999999998</v>
      </c>
      <c r="D61" s="11">
        <f t="shared" ref="D61:H61" si="88">D57+D60+D59</f>
        <v>81917.5</v>
      </c>
      <c r="E61" s="11">
        <f t="shared" si="88"/>
        <v>76116.86</v>
      </c>
      <c r="F61" s="11">
        <f t="shared" si="88"/>
        <v>69907.259999999995</v>
      </c>
      <c r="G61" s="11">
        <f t="shared" si="88"/>
        <v>83671.08</v>
      </c>
      <c r="H61" s="11">
        <f t="shared" si="88"/>
        <v>116300.22</v>
      </c>
    </row>
    <row r="66" spans="2:14">
      <c r="B66" s="242" t="s">
        <v>291</v>
      </c>
      <c r="C66" s="242"/>
      <c r="D66" s="242"/>
      <c r="E66" s="242"/>
      <c r="F66" s="242"/>
      <c r="G66" s="242"/>
      <c r="H66" s="242"/>
    </row>
    <row r="67" spans="2:14">
      <c r="B67" s="243" t="s">
        <v>36</v>
      </c>
      <c r="C67" s="243">
        <v>2016</v>
      </c>
      <c r="D67" s="243">
        <v>2017</v>
      </c>
      <c r="E67" s="243">
        <v>2018</v>
      </c>
      <c r="F67" s="243">
        <v>2019</v>
      </c>
      <c r="G67" s="243">
        <v>2020</v>
      </c>
      <c r="H67" s="243">
        <v>2021</v>
      </c>
    </row>
    <row r="68" spans="2:14">
      <c r="B68" s="242" t="s">
        <v>37</v>
      </c>
      <c r="C68" s="242">
        <f>1519</f>
        <v>1519</v>
      </c>
      <c r="D68" s="242">
        <f>1419</f>
        <v>1419</v>
      </c>
      <c r="E68" s="242">
        <f>2030</f>
        <v>2030</v>
      </c>
      <c r="F68" s="242">
        <f>4067</f>
        <v>4067</v>
      </c>
      <c r="G68" s="242">
        <f>8287</f>
        <v>8287</v>
      </c>
      <c r="H68" s="242">
        <f>9380</f>
        <v>9380</v>
      </c>
    </row>
    <row r="69" spans="2:14">
      <c r="B69" s="242" t="s">
        <v>38</v>
      </c>
      <c r="C69" s="242">
        <f>1633</f>
        <v>1633</v>
      </c>
      <c r="D69" s="242">
        <f>3473</f>
        <v>3473</v>
      </c>
      <c r="E69" s="242">
        <f>4565</f>
        <v>4565</v>
      </c>
      <c r="F69" s="242">
        <f>4467</f>
        <v>4467</v>
      </c>
      <c r="G69" s="242">
        <f>4360</f>
        <v>4360</v>
      </c>
      <c r="H69" s="242">
        <f>4747</f>
        <v>4747</v>
      </c>
      <c r="I69" s="22"/>
      <c r="J69" s="22"/>
      <c r="K69" s="22"/>
      <c r="L69" s="22"/>
      <c r="M69" s="22"/>
      <c r="N69" s="22"/>
    </row>
    <row r="70" spans="2:14" ht="15" thickBot="1">
      <c r="B70" s="242" t="s">
        <v>39</v>
      </c>
      <c r="C70" s="244">
        <f>'Nøkkeltall konkurrenter'!V36</f>
        <v>369.6</v>
      </c>
      <c r="D70" s="244">
        <f>'Nøkkeltall konkurrenter'!W36</f>
        <v>345</v>
      </c>
      <c r="E70" s="244">
        <f>'Nøkkeltall konkurrenter'!X36</f>
        <v>472.86</v>
      </c>
      <c r="F70" s="244">
        <f>'Nøkkeltall konkurrenter'!Y36</f>
        <v>912.58</v>
      </c>
      <c r="G70" s="244">
        <f>'Nøkkeltall konkurrenter'!Z36</f>
        <v>1011.64</v>
      </c>
      <c r="H70" s="244">
        <f>'Nøkkeltall konkurrenter'!AA36</f>
        <v>1388.92</v>
      </c>
      <c r="I70" s="5"/>
      <c r="J70" s="5"/>
      <c r="K70" s="5"/>
      <c r="L70" s="5"/>
      <c r="M70" s="5"/>
      <c r="N70" s="5"/>
    </row>
    <row r="71" spans="2:14" ht="15" thickBot="1">
      <c r="B71" s="245" t="s">
        <v>40</v>
      </c>
      <c r="C71" s="245">
        <f t="shared" ref="C71:H71" si="89">SUM(C68:C70)</f>
        <v>3521.6</v>
      </c>
      <c r="D71" s="245">
        <f t="shared" si="89"/>
        <v>5237</v>
      </c>
      <c r="E71" s="245">
        <f t="shared" si="89"/>
        <v>7067.86</v>
      </c>
      <c r="F71" s="245">
        <f t="shared" si="89"/>
        <v>9446.58</v>
      </c>
      <c r="G71" s="245">
        <f t="shared" si="89"/>
        <v>13658.64</v>
      </c>
      <c r="H71" s="245">
        <f t="shared" si="89"/>
        <v>15515.92</v>
      </c>
    </row>
    <row r="72" spans="2:14">
      <c r="B72" s="242" t="s">
        <v>292</v>
      </c>
      <c r="C72" s="242">
        <f>2377</f>
        <v>2377</v>
      </c>
      <c r="D72" s="242">
        <f>5401</f>
        <v>5401</v>
      </c>
      <c r="E72" s="242">
        <f>8874</f>
        <v>8874</v>
      </c>
      <c r="F72" s="242">
        <f>7506</f>
        <v>7506</v>
      </c>
      <c r="G72" s="242">
        <f>5861</f>
        <v>5861</v>
      </c>
      <c r="H72" s="242">
        <f>7690</f>
        <v>7690</v>
      </c>
    </row>
    <row r="73" spans="2:14">
      <c r="B73" s="242" t="s">
        <v>41</v>
      </c>
      <c r="C73" s="242">
        <f>285</f>
        <v>285</v>
      </c>
      <c r="D73" s="242">
        <f>376</f>
        <v>376</v>
      </c>
      <c r="E73" s="242">
        <f>390</f>
        <v>390</v>
      </c>
      <c r="F73" s="242">
        <f>707</f>
        <v>707</v>
      </c>
      <c r="G73" s="242">
        <f>752</f>
        <v>752</v>
      </c>
      <c r="H73" s="242">
        <f>857</f>
        <v>857</v>
      </c>
    </row>
    <row r="74" spans="2:14">
      <c r="B74" s="242" t="s">
        <v>42</v>
      </c>
      <c r="C74" s="242">
        <v>627</v>
      </c>
      <c r="D74" s="242">
        <f>464</f>
        <v>464</v>
      </c>
      <c r="E74" s="242">
        <f>285</f>
        <v>285</v>
      </c>
      <c r="F74" s="242">
        <f>474</f>
        <v>474</v>
      </c>
      <c r="G74" s="242">
        <f>621</f>
        <v>621</v>
      </c>
      <c r="H74" s="242">
        <f>1338</f>
        <v>1338</v>
      </c>
    </row>
    <row r="75" spans="2:14" ht="15" thickBot="1">
      <c r="B75" s="242" t="s">
        <v>43</v>
      </c>
      <c r="C75" s="242">
        <v>547</v>
      </c>
      <c r="D75" s="242">
        <v>1549</v>
      </c>
      <c r="E75" s="242">
        <f>1391</f>
        <v>1391</v>
      </c>
      <c r="F75" s="242">
        <f>2019</f>
        <v>2019</v>
      </c>
      <c r="G75" s="242">
        <f>3435</f>
        <v>3435</v>
      </c>
      <c r="H75" s="242">
        <f>7933</f>
        <v>7933</v>
      </c>
      <c r="I75" s="5"/>
      <c r="J75" s="5"/>
      <c r="K75" s="5"/>
      <c r="L75" s="5"/>
      <c r="M75" s="5"/>
      <c r="N75" s="5"/>
    </row>
    <row r="76" spans="2:14" ht="15" thickBot="1">
      <c r="B76" s="245" t="s">
        <v>44</v>
      </c>
      <c r="C76" s="245">
        <f t="shared" ref="C76:H76" si="90">SUM(C72:C75)</f>
        <v>3836</v>
      </c>
      <c r="D76" s="245">
        <f t="shared" si="90"/>
        <v>7790</v>
      </c>
      <c r="E76" s="245">
        <f t="shared" si="90"/>
        <v>10940</v>
      </c>
      <c r="F76" s="245">
        <f t="shared" si="90"/>
        <v>10706</v>
      </c>
      <c r="G76" s="245">
        <f t="shared" si="90"/>
        <v>10669</v>
      </c>
      <c r="H76" s="245">
        <f t="shared" si="90"/>
        <v>17818</v>
      </c>
    </row>
    <row r="77" spans="2:14">
      <c r="B77" s="242"/>
      <c r="C77" s="242"/>
      <c r="D77" s="242"/>
      <c r="E77" s="242"/>
      <c r="F77" s="242"/>
      <c r="G77" s="242"/>
      <c r="H77" s="242"/>
    </row>
    <row r="78" spans="2:14">
      <c r="B78" s="242" t="s">
        <v>36</v>
      </c>
      <c r="C78" s="242">
        <f>C71-C76</f>
        <v>-314.40000000000009</v>
      </c>
      <c r="D78" s="242">
        <f t="shared" ref="D78:H78" si="91">D71-D76</f>
        <v>-2553</v>
      </c>
      <c r="E78" s="242">
        <f t="shared" si="91"/>
        <v>-3872.1400000000003</v>
      </c>
      <c r="F78" s="242">
        <f t="shared" si="91"/>
        <v>-1259.42</v>
      </c>
      <c r="G78" s="242">
        <f t="shared" si="91"/>
        <v>2989.6399999999994</v>
      </c>
      <c r="H78" s="242">
        <f t="shared" si="91"/>
        <v>-2302.08</v>
      </c>
    </row>
    <row r="79" spans="2:14">
      <c r="B79" s="242" t="s">
        <v>46</v>
      </c>
      <c r="C79" s="242">
        <v>14272</v>
      </c>
      <c r="D79" s="242">
        <f>19264</f>
        <v>19264</v>
      </c>
      <c r="E79" s="242">
        <f>24982</f>
        <v>24982</v>
      </c>
      <c r="F79" s="242">
        <f>30274</f>
        <v>30274</v>
      </c>
      <c r="G79" s="242">
        <f>36528</f>
        <v>36528</v>
      </c>
      <c r="H79" s="242">
        <f>44111</f>
        <v>44111</v>
      </c>
    </row>
    <row r="80" spans="2:14" ht="15" thickBot="1">
      <c r="B80" s="242" t="s">
        <v>47</v>
      </c>
      <c r="C80" s="242">
        <f>0</f>
        <v>0</v>
      </c>
      <c r="D80" s="242">
        <v>0</v>
      </c>
      <c r="E80" s="242">
        <v>0</v>
      </c>
      <c r="F80" s="242">
        <v>0</v>
      </c>
      <c r="G80" s="242">
        <v>0</v>
      </c>
      <c r="H80" s="242">
        <v>0</v>
      </c>
      <c r="I80" s="23"/>
      <c r="J80" s="23"/>
      <c r="K80" s="23"/>
      <c r="L80" s="23"/>
      <c r="M80" s="23"/>
      <c r="N80" s="23"/>
    </row>
    <row r="81" spans="1:9" ht="15" thickBot="1">
      <c r="B81" s="245" t="s">
        <v>48</v>
      </c>
      <c r="C81" s="246">
        <f t="shared" ref="C81:H81" si="92">C78+C79</f>
        <v>13957.6</v>
      </c>
      <c r="D81" s="246">
        <f t="shared" si="92"/>
        <v>16711</v>
      </c>
      <c r="E81" s="246">
        <f t="shared" si="92"/>
        <v>21109.86</v>
      </c>
      <c r="F81" s="246">
        <f t="shared" si="92"/>
        <v>29014.58</v>
      </c>
      <c r="G81" s="246">
        <f t="shared" si="92"/>
        <v>39517.64</v>
      </c>
      <c r="H81" s="246">
        <f t="shared" si="92"/>
        <v>41808.92</v>
      </c>
    </row>
    <row r="86" spans="1:9">
      <c r="E86" s="27"/>
    </row>
    <row r="88" spans="1:9">
      <c r="D88" s="160"/>
      <c r="E88" s="160"/>
      <c r="F88" s="160"/>
      <c r="G88" s="160"/>
      <c r="H88" s="160"/>
    </row>
    <row r="91" spans="1:9">
      <c r="B91" s="11"/>
      <c r="C91" s="11"/>
      <c r="D91" s="11"/>
      <c r="E91" s="11"/>
      <c r="F91" s="11"/>
      <c r="G91" s="11"/>
      <c r="H91" s="11"/>
    </row>
    <row r="94" spans="1:9">
      <c r="A94" s="255"/>
      <c r="B94" s="252"/>
      <c r="C94" s="252"/>
      <c r="D94" s="252"/>
      <c r="E94" s="252"/>
      <c r="F94" s="252"/>
      <c r="G94" s="252"/>
      <c r="H94" s="252"/>
      <c r="I94" s="252"/>
    </row>
    <row r="95" spans="1:9">
      <c r="A95" s="252"/>
      <c r="B95" s="22"/>
      <c r="C95" s="22"/>
      <c r="D95" s="22"/>
      <c r="E95" s="22"/>
      <c r="F95" s="22"/>
      <c r="G95" s="22"/>
      <c r="H95" s="22"/>
      <c r="I95" s="22"/>
    </row>
    <row r="96" spans="1:9">
      <c r="A96" s="252"/>
      <c r="B96" s="22"/>
      <c r="C96" s="22"/>
      <c r="D96" s="22"/>
      <c r="E96" s="22"/>
      <c r="F96" s="22"/>
      <c r="G96" s="22"/>
      <c r="H96" s="22"/>
      <c r="I96" s="22"/>
    </row>
    <row r="97" spans="1:9">
      <c r="A97" s="252"/>
      <c r="B97" s="22"/>
      <c r="C97" s="22"/>
      <c r="D97" s="22"/>
      <c r="E97" s="22"/>
      <c r="F97" s="22"/>
      <c r="G97" s="22"/>
      <c r="H97" s="22"/>
      <c r="I97" s="22"/>
    </row>
    <row r="98" spans="1:9">
      <c r="A98" s="252"/>
      <c r="B98" s="256"/>
      <c r="C98" s="256"/>
      <c r="D98" s="256"/>
      <c r="E98" s="256"/>
      <c r="F98" s="256"/>
      <c r="G98" s="256"/>
      <c r="H98" s="256"/>
      <c r="I98" s="257"/>
    </row>
    <row r="99" spans="1:9">
      <c r="C99" s="22"/>
      <c r="D99" s="22"/>
      <c r="E99" s="22"/>
      <c r="F99" s="22"/>
      <c r="G99" s="22"/>
      <c r="H99" s="22"/>
    </row>
    <row r="100" spans="1:9">
      <c r="C100" s="22"/>
      <c r="D100" s="22"/>
      <c r="E100" s="22"/>
      <c r="F100" s="22"/>
      <c r="G100" s="22"/>
      <c r="H100" s="22"/>
    </row>
    <row r="101" spans="1:9">
      <c r="B101" s="11"/>
      <c r="C101" s="110"/>
      <c r="D101" s="110"/>
      <c r="E101" s="110"/>
      <c r="F101" s="110"/>
      <c r="G101" s="110"/>
      <c r="H101" s="110"/>
    </row>
    <row r="104" spans="1:9">
      <c r="A104" s="255"/>
      <c r="B104" s="252"/>
      <c r="C104" s="252"/>
      <c r="D104" s="252"/>
      <c r="E104" s="252"/>
      <c r="F104" s="252"/>
      <c r="G104" s="252"/>
      <c r="H104" s="252"/>
      <c r="I104" s="252"/>
    </row>
    <row r="105" spans="1:9">
      <c r="A105" s="252"/>
      <c r="B105" s="22"/>
      <c r="C105" s="22"/>
      <c r="D105" s="22"/>
      <c r="E105" s="22"/>
      <c r="F105" s="22"/>
      <c r="G105" s="22"/>
      <c r="H105" s="22"/>
      <c r="I105" s="22"/>
    </row>
    <row r="106" spans="1:9">
      <c r="A106" s="252"/>
      <c r="B106" s="22"/>
      <c r="C106" s="22"/>
      <c r="D106" s="22"/>
      <c r="E106" s="22"/>
      <c r="F106" s="22"/>
      <c r="G106" s="22"/>
      <c r="H106" s="22"/>
      <c r="I106" s="22"/>
    </row>
    <row r="107" spans="1:9">
      <c r="A107" s="252"/>
      <c r="B107" s="22"/>
      <c r="C107" s="22"/>
      <c r="D107" s="22"/>
      <c r="E107" s="22"/>
      <c r="F107" s="22"/>
      <c r="G107" s="22"/>
      <c r="H107" s="22"/>
      <c r="I107" s="22"/>
    </row>
    <row r="110" spans="1:9">
      <c r="A110" s="252"/>
      <c r="B110" s="252"/>
      <c r="C110" s="252"/>
      <c r="D110" s="252"/>
      <c r="E110" s="252"/>
      <c r="F110" s="252"/>
      <c r="G110" s="252"/>
      <c r="H110" s="252"/>
      <c r="I110" s="252"/>
    </row>
    <row r="111" spans="1:9">
      <c r="A111" s="252"/>
      <c r="B111" s="22"/>
      <c r="C111" s="22"/>
      <c r="D111" s="22"/>
      <c r="E111" s="22"/>
      <c r="F111" s="22"/>
      <c r="G111" s="22"/>
      <c r="H111" s="22"/>
      <c r="I111" s="258"/>
    </row>
    <row r="112" spans="1:9">
      <c r="A112" s="252"/>
      <c r="C112" s="254"/>
      <c r="D112" s="254"/>
      <c r="E112" s="254"/>
      <c r="F112" s="254"/>
      <c r="G112" s="254"/>
      <c r="H112" s="254"/>
      <c r="I112" s="258"/>
    </row>
    <row r="113" spans="1:9">
      <c r="A113" s="252"/>
      <c r="B113" s="254"/>
      <c r="C113" s="254"/>
      <c r="D113" s="254"/>
      <c r="E113" s="254"/>
      <c r="F113" s="254"/>
      <c r="G113" s="254"/>
      <c r="H113" s="254"/>
      <c r="I113" s="258"/>
    </row>
    <row r="115" spans="1:9">
      <c r="A115" s="11"/>
    </row>
    <row r="116" spans="1:9">
      <c r="A116" s="252"/>
    </row>
    <row r="117" spans="1:9">
      <c r="A117" s="252"/>
    </row>
    <row r="118" spans="1:9">
      <c r="A118" s="252" t="s">
        <v>293</v>
      </c>
    </row>
  </sheetData>
  <mergeCells count="4">
    <mergeCell ref="R29:AF29"/>
    <mergeCell ref="B3:H3"/>
    <mergeCell ref="AH28:AV28"/>
    <mergeCell ref="B29:H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4D988-4B03-8F44-8FB9-C06C2CEE195B}">
  <dimension ref="B6:C26"/>
  <sheetViews>
    <sheetView workbookViewId="0"/>
  </sheetViews>
  <sheetFormatPr defaultColWidth="11.5546875" defaultRowHeight="14.4"/>
  <cols>
    <col min="2" max="2" width="44.44140625" bestFit="1" customWidth="1"/>
    <col min="3" max="3" width="35.77734375" bestFit="1" customWidth="1"/>
  </cols>
  <sheetData>
    <row r="6" spans="2:3" ht="18">
      <c r="B6" s="511" t="s">
        <v>447</v>
      </c>
      <c r="C6" s="511" t="s">
        <v>448</v>
      </c>
    </row>
    <row r="7" spans="2:3">
      <c r="B7" s="513" t="s">
        <v>479</v>
      </c>
      <c r="C7" s="513" t="s">
        <v>490</v>
      </c>
    </row>
    <row r="8" spans="2:3">
      <c r="B8" s="513" t="s">
        <v>480</v>
      </c>
      <c r="C8" s="513" t="s">
        <v>486</v>
      </c>
    </row>
    <row r="9" spans="2:3">
      <c r="B9" s="513" t="s">
        <v>481</v>
      </c>
      <c r="C9" s="513" t="s">
        <v>492</v>
      </c>
    </row>
    <row r="10" spans="2:3">
      <c r="B10" s="513" t="s">
        <v>482</v>
      </c>
      <c r="C10" s="513"/>
    </row>
    <row r="11" spans="2:3" ht="18">
      <c r="B11" s="511" t="s">
        <v>449</v>
      </c>
      <c r="C11" s="511" t="s">
        <v>450</v>
      </c>
    </row>
    <row r="12" spans="2:3">
      <c r="B12" s="512" t="s">
        <v>483</v>
      </c>
      <c r="C12" s="513" t="s">
        <v>487</v>
      </c>
    </row>
    <row r="13" spans="2:3">
      <c r="B13" s="513" t="s">
        <v>484</v>
      </c>
      <c r="C13" s="513" t="s">
        <v>488</v>
      </c>
    </row>
    <row r="14" spans="2:3">
      <c r="B14" s="513" t="s">
        <v>485</v>
      </c>
      <c r="C14" s="513" t="s">
        <v>493</v>
      </c>
    </row>
    <row r="15" spans="2:3">
      <c r="B15" s="510"/>
      <c r="C15" s="513" t="s">
        <v>489</v>
      </c>
    </row>
    <row r="16" spans="2:3">
      <c r="B16" s="513"/>
      <c r="C16" s="513" t="s">
        <v>491</v>
      </c>
    </row>
    <row r="17" spans="2:3">
      <c r="C17" s="510"/>
    </row>
    <row r="18" spans="2:3">
      <c r="B18" s="510"/>
      <c r="C18" s="510"/>
    </row>
    <row r="19" spans="2:3">
      <c r="B19" s="510"/>
      <c r="C19" s="510"/>
    </row>
    <row r="20" spans="2:3">
      <c r="B20" s="510"/>
      <c r="C20" s="510"/>
    </row>
    <row r="21" spans="2:3">
      <c r="B21" s="510"/>
      <c r="C21" s="510"/>
    </row>
    <row r="22" spans="2:3">
      <c r="B22" s="510"/>
      <c r="C22" s="510"/>
    </row>
    <row r="23" spans="2:3">
      <c r="B23" s="510"/>
      <c r="C23" s="510"/>
    </row>
    <row r="24" spans="2:3">
      <c r="B24" s="510"/>
      <c r="C24" s="510"/>
    </row>
    <row r="25" spans="2:3">
      <c r="B25" s="510"/>
      <c r="C25" s="510"/>
    </row>
    <row r="26" spans="2:3">
      <c r="B26" s="510"/>
      <c r="C26" s="5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F43C9-DA53-DB4B-9325-DC53A7A37154}">
  <sheetPr codeName="Ark6"/>
  <dimension ref="A2:X96"/>
  <sheetViews>
    <sheetView topLeftCell="A2" zoomScale="57" zoomScaleNormal="100" workbookViewId="0">
      <selection activeCell="D31" sqref="D31"/>
    </sheetView>
  </sheetViews>
  <sheetFormatPr defaultColWidth="11.44140625" defaultRowHeight="14.4"/>
  <cols>
    <col min="1" max="1" width="8.77734375" customWidth="1"/>
    <col min="2" max="2" width="26.6640625" bestFit="1" customWidth="1"/>
    <col min="3" max="4" width="13.33203125" bestFit="1" customWidth="1"/>
    <col min="8" max="8" width="13.6640625" bestFit="1" customWidth="1"/>
    <col min="12" max="12" width="12.6640625" bestFit="1" customWidth="1"/>
    <col min="13" max="13" width="16.77734375" bestFit="1" customWidth="1"/>
  </cols>
  <sheetData>
    <row r="2" spans="2:19">
      <c r="B2" s="232"/>
      <c r="C2" s="232"/>
      <c r="D2" s="232"/>
      <c r="E2" s="232"/>
      <c r="F2" s="232"/>
      <c r="G2" s="232"/>
    </row>
    <row r="4" spans="2:19">
      <c r="C4" s="22"/>
      <c r="D4" s="22"/>
      <c r="E4" s="22"/>
      <c r="F4" s="22"/>
      <c r="G4" s="22"/>
    </row>
    <row r="5" spans="2:19">
      <c r="B5" s="356" t="s">
        <v>61</v>
      </c>
      <c r="C5" s="357">
        <v>2023</v>
      </c>
      <c r="D5" s="357">
        <v>2024</v>
      </c>
      <c r="E5" s="357">
        <v>2025</v>
      </c>
      <c r="F5" s="357">
        <v>2026</v>
      </c>
      <c r="G5" s="357">
        <v>2027</v>
      </c>
      <c r="H5" s="358" t="s">
        <v>3</v>
      </c>
      <c r="K5" s="247" t="s">
        <v>62</v>
      </c>
      <c r="L5" s="457">
        <f>Iterasjon!C5</f>
        <v>6.9922348928949635E-2</v>
      </c>
      <c r="M5" s="569" t="s">
        <v>63</v>
      </c>
      <c r="N5" s="569"/>
      <c r="O5" s="569"/>
      <c r="P5" s="569"/>
      <c r="Q5" s="36"/>
      <c r="R5" s="36"/>
      <c r="S5" s="301"/>
    </row>
    <row r="6" spans="2:19">
      <c r="B6" s="279" t="s">
        <v>64</v>
      </c>
      <c r="C6" s="274">
        <f>Forecast!J14</f>
        <v>16125.118628840561</v>
      </c>
      <c r="D6" s="274">
        <f>Forecast!K14</f>
        <v>17896.968983115254</v>
      </c>
      <c r="E6" s="274">
        <f>Forecast!L14</f>
        <v>19683.597798037554</v>
      </c>
      <c r="F6" s="274">
        <f>Forecast!M14</f>
        <v>21493.235037390739</v>
      </c>
      <c r="G6" s="274">
        <f>Forecast!N14</f>
        <v>23333.902781832297</v>
      </c>
      <c r="H6" s="371">
        <f>Forecast!O14</f>
        <v>24220.370100303135</v>
      </c>
      <c r="K6" s="17" t="s">
        <v>65</v>
      </c>
      <c r="L6" s="424">
        <f>2%</f>
        <v>0.02</v>
      </c>
      <c r="M6" s="459" t="str">
        <f t="shared" ref="M6:S7" si="0">B19</f>
        <v>N</v>
      </c>
      <c r="N6" s="259">
        <f t="shared" si="0"/>
        <v>1</v>
      </c>
      <c r="O6" s="259">
        <f t="shared" si="0"/>
        <v>2</v>
      </c>
      <c r="P6" s="259">
        <f t="shared" si="0"/>
        <v>3</v>
      </c>
      <c r="Q6" s="259">
        <f t="shared" si="0"/>
        <v>4</v>
      </c>
      <c r="R6" s="259">
        <f t="shared" si="0"/>
        <v>5</v>
      </c>
      <c r="S6" s="314">
        <f t="shared" si="0"/>
        <v>6</v>
      </c>
    </row>
    <row r="7" spans="2:19">
      <c r="B7" s="279" t="s">
        <v>66</v>
      </c>
      <c r="C7" s="274">
        <f>Forecast!J20</f>
        <v>11994.225748590874</v>
      </c>
      <c r="D7" s="274">
        <f>Forecast!K20</f>
        <v>13376.269024925135</v>
      </c>
      <c r="E7" s="274">
        <f>Forecast!L20</f>
        <v>14769.839500564529</v>
      </c>
      <c r="F7" s="274">
        <f>Forecast!M20</f>
        <v>16181.356547260013</v>
      </c>
      <c r="G7" s="274">
        <f>Forecast!N20</f>
        <v>17617.07738792443</v>
      </c>
      <c r="H7" s="371">
        <f>Forecast!O20</f>
        <v>18308.521896331684</v>
      </c>
      <c r="K7" s="17"/>
      <c r="L7" s="424"/>
      <c r="M7" s="459" t="str">
        <f t="shared" si="0"/>
        <v>FCF</v>
      </c>
      <c r="N7" s="259">
        <f t="shared" si="0"/>
        <v>9124.1051954063787</v>
      </c>
      <c r="O7" s="259">
        <f t="shared" si="0"/>
        <v>16694.030422142114</v>
      </c>
      <c r="P7" s="259">
        <f t="shared" si="0"/>
        <v>17822.028232564528</v>
      </c>
      <c r="Q7" s="259">
        <f t="shared" si="0"/>
        <v>18775.8508275247</v>
      </c>
      <c r="R7" s="259">
        <f t="shared" si="0"/>
        <v>19794.746919968649</v>
      </c>
      <c r="S7" s="314">
        <f t="shared" si="0"/>
        <v>20108.676716421644</v>
      </c>
    </row>
    <row r="8" spans="2:19">
      <c r="B8" s="279" t="s">
        <v>67</v>
      </c>
      <c r="C8" s="274">
        <f>Forecast!I85</f>
        <v>11106.139892981015</v>
      </c>
      <c r="D8" s="274">
        <f>Forecast!J85</f>
        <v>10695.852464797408</v>
      </c>
      <c r="E8" s="274">
        <f>Forecast!K85</f>
        <v>10338.864722270742</v>
      </c>
      <c r="F8" s="274">
        <f>Forecast!L85</f>
        <v>10030.350608932966</v>
      </c>
      <c r="G8" s="274">
        <f>Forecast!M85</f>
        <v>9765.8621468075908</v>
      </c>
      <c r="H8" s="371">
        <f>Forecast!N85</f>
        <v>9541.3901269095622</v>
      </c>
      <c r="K8" s="17"/>
      <c r="L8" s="424"/>
      <c r="M8" s="459" t="str">
        <f>B21</f>
        <v>Discount factor</v>
      </c>
      <c r="N8" s="1">
        <f t="shared" ref="N8:S8" si="1">1/(1+$L$5)^N6</f>
        <v>0.9346472676274632</v>
      </c>
      <c r="O8" s="1">
        <f t="shared" si="1"/>
        <v>0.87356551488348289</v>
      </c>
      <c r="P8" s="1">
        <f t="shared" si="1"/>
        <v>0.81647562157942533</v>
      </c>
      <c r="Q8" s="1">
        <f t="shared" si="1"/>
        <v>0.76311670879364457</v>
      </c>
      <c r="R8" s="1">
        <f t="shared" si="1"/>
        <v>0.71324494675484251</v>
      </c>
      <c r="S8" s="452">
        <f t="shared" si="1"/>
        <v>0.66663244063350902</v>
      </c>
    </row>
    <row r="9" spans="2:19">
      <c r="B9" s="279" t="s">
        <v>68</v>
      </c>
      <c r="C9" s="274">
        <f>-Forecast!J125</f>
        <v>7081.9674461655122</v>
      </c>
      <c r="D9" s="274">
        <f>-Forecast!K125</f>
        <v>-346.9322075804339</v>
      </c>
      <c r="E9" s="274">
        <f>-Forecast!L125</f>
        <v>-114.89395307075029</v>
      </c>
      <c r="F9" s="274">
        <f>-Forecast!M125</f>
        <v>-120.63865072428234</v>
      </c>
      <c r="G9" s="274">
        <f>-Forecast!N125</f>
        <v>-126.67058326049664</v>
      </c>
      <c r="H9" s="371">
        <f>-Forecast!O125</f>
        <v>-130.48283468667069</v>
      </c>
      <c r="K9" s="17"/>
      <c r="L9" s="424"/>
      <c r="M9" s="459" t="str">
        <f>B22</f>
        <v>Discount FCF</v>
      </c>
      <c r="N9">
        <f t="shared" ref="N9:S9" si="2">N8*N7</f>
        <v>8527.8199904321136</v>
      </c>
      <c r="O9">
        <f t="shared" si="2"/>
        <v>14583.329281199103</v>
      </c>
      <c r="P9">
        <f t="shared" si="2"/>
        <v>14551.25157898919</v>
      </c>
      <c r="Q9">
        <f t="shared" si="2"/>
        <v>14328.165488301078</v>
      </c>
      <c r="R9">
        <f t="shared" si="2"/>
        <v>14118.503212958622</v>
      </c>
      <c r="S9" s="18">
        <f t="shared" si="2"/>
        <v>13405.096237378377</v>
      </c>
    </row>
    <row r="10" spans="2:19">
      <c r="B10" s="279" t="s">
        <v>69</v>
      </c>
      <c r="C10" s="274">
        <f>Forecast!J126</f>
        <v>6894.292999999996</v>
      </c>
      <c r="D10" s="274">
        <f>Forecast!K126</f>
        <v>7031.1588599999959</v>
      </c>
      <c r="E10" s="274">
        <f>Forecast!L126</f>
        <v>7171.782037199996</v>
      </c>
      <c r="F10" s="274">
        <f>Forecast!M126</f>
        <v>7315.2176779439951</v>
      </c>
      <c r="G10" s="274">
        <f>Forecast!N126</f>
        <v>7461.5220315028755</v>
      </c>
      <c r="H10" s="371">
        <f>Forecast!O126</f>
        <v>7610.7524721329337</v>
      </c>
      <c r="K10" s="332"/>
      <c r="L10" s="424"/>
      <c r="M10" s="306" t="s">
        <v>70</v>
      </c>
      <c r="N10" s="301">
        <f>SUM(N9:R9)</f>
        <v>66109.069551880108</v>
      </c>
      <c r="S10" s="18"/>
    </row>
    <row r="11" spans="2:19">
      <c r="B11" s="279" t="s">
        <v>71</v>
      </c>
      <c r="C11" s="274">
        <f>C7+C8-C9-C10</f>
        <v>9124.1051954063787</v>
      </c>
      <c r="D11" s="274">
        <f>D7+D8+D9-D10</f>
        <v>16694.030422142114</v>
      </c>
      <c r="E11" s="276">
        <f>E7+E8+E9-E10</f>
        <v>17822.028232564528</v>
      </c>
      <c r="F11" s="276">
        <f>F7+F8+F9-F10</f>
        <v>18775.8508275247</v>
      </c>
      <c r="G11" s="276">
        <f>G7+G8+G9-G10</f>
        <v>19794.746919968649</v>
      </c>
      <c r="H11" s="285">
        <f>H7+H8+H9-H10</f>
        <v>20108.676716421644</v>
      </c>
      <c r="K11" s="19"/>
      <c r="L11" s="458"/>
      <c r="M11" s="298" t="s">
        <v>72</v>
      </c>
      <c r="N11" s="268">
        <f>S9/(L5-L6)</f>
        <v>268518.94041397667</v>
      </c>
      <c r="O11" s="20"/>
      <c r="P11" s="20"/>
      <c r="Q11" s="20"/>
      <c r="R11" s="20"/>
      <c r="S11" s="268"/>
    </row>
    <row r="12" spans="2:19">
      <c r="B12" s="372" t="s">
        <v>73</v>
      </c>
      <c r="C12" s="464">
        <f>'KVM før iterasjon'!C11</f>
        <v>6.1877606319032649E-2</v>
      </c>
      <c r="D12" s="375"/>
      <c r="E12" s="232"/>
      <c r="F12" s="232"/>
      <c r="G12" s="232"/>
      <c r="H12" s="232"/>
      <c r="I12" s="17"/>
      <c r="L12" s="424"/>
    </row>
    <row r="13" spans="2:19">
      <c r="B13" s="373" t="s">
        <v>74</v>
      </c>
      <c r="C13" s="374">
        <f>Forecast!O4</f>
        <v>0.02</v>
      </c>
      <c r="D13" s="232"/>
      <c r="E13" s="362"/>
      <c r="F13" s="362"/>
      <c r="G13" s="362"/>
      <c r="H13" s="362"/>
      <c r="I13" s="17"/>
      <c r="K13" s="247" t="s">
        <v>62</v>
      </c>
      <c r="L13" s="457">
        <f>Iterasjon!D5</f>
        <v>6.977800242863802E-2</v>
      </c>
      <c r="M13" s="36" t="s">
        <v>75</v>
      </c>
      <c r="N13" s="36"/>
      <c r="O13" s="36"/>
      <c r="P13" s="36"/>
      <c r="Q13" s="36"/>
      <c r="R13" s="36"/>
      <c r="S13" s="301"/>
    </row>
    <row r="14" spans="2:19">
      <c r="D14" s="36"/>
      <c r="K14" s="17" t="s">
        <v>65</v>
      </c>
      <c r="L14" s="424">
        <f>0.02</f>
        <v>0.02</v>
      </c>
      <c r="M14" s="459" t="str">
        <f t="shared" ref="M14:S15" si="3">M6</f>
        <v>N</v>
      </c>
      <c r="N14" s="259">
        <f t="shared" si="3"/>
        <v>1</v>
      </c>
      <c r="O14" s="259">
        <f t="shared" si="3"/>
        <v>2</v>
      </c>
      <c r="P14" s="259">
        <f t="shared" si="3"/>
        <v>3</v>
      </c>
      <c r="Q14" s="259">
        <f t="shared" si="3"/>
        <v>4</v>
      </c>
      <c r="R14" s="259">
        <f t="shared" si="3"/>
        <v>5</v>
      </c>
      <c r="S14" s="314">
        <f t="shared" si="3"/>
        <v>6</v>
      </c>
    </row>
    <row r="15" spans="2:19">
      <c r="D15" s="259"/>
      <c r="E15" s="259"/>
      <c r="F15" s="259"/>
      <c r="G15" s="259"/>
      <c r="H15" s="259"/>
      <c r="I15" s="259"/>
      <c r="J15" s="259"/>
      <c r="K15" s="309"/>
      <c r="L15" s="424"/>
      <c r="M15" s="459" t="str">
        <f t="shared" si="3"/>
        <v>FCF</v>
      </c>
      <c r="N15" s="259">
        <f t="shared" si="3"/>
        <v>9124.1051954063787</v>
      </c>
      <c r="O15" s="259">
        <f t="shared" si="3"/>
        <v>16694.030422142114</v>
      </c>
      <c r="P15" s="259">
        <f t="shared" si="3"/>
        <v>17822.028232564528</v>
      </c>
      <c r="Q15" s="259">
        <f t="shared" si="3"/>
        <v>18775.8508275247</v>
      </c>
      <c r="R15" s="259">
        <f t="shared" si="3"/>
        <v>19794.746919968649</v>
      </c>
      <c r="S15" s="314">
        <f t="shared" si="3"/>
        <v>20108.676716421644</v>
      </c>
    </row>
    <row r="16" spans="2:19">
      <c r="B16" s="259"/>
      <c r="C16" s="259"/>
      <c r="D16" s="259"/>
      <c r="E16" s="259"/>
      <c r="F16" s="259"/>
      <c r="G16" s="259"/>
      <c r="H16" s="259"/>
      <c r="I16" s="259"/>
      <c r="J16" s="259"/>
      <c r="K16" s="309"/>
      <c r="L16" s="424"/>
      <c r="M16" s="459" t="str">
        <f>M8</f>
        <v>Discount factor</v>
      </c>
      <c r="N16" s="259">
        <f t="shared" ref="N16:S16" si="4">1/(1+$L$13)^N14</f>
        <v>0.93477338076663918</v>
      </c>
      <c r="O16" s="259">
        <f t="shared" si="4"/>
        <v>0.87380127338989233</v>
      </c>
      <c r="P16" s="259">
        <f t="shared" si="4"/>
        <v>0.81680617044486414</v>
      </c>
      <c r="Q16" s="259">
        <f t="shared" si="4"/>
        <v>0.7635286653777974</v>
      </c>
      <c r="R16" s="259">
        <f t="shared" si="4"/>
        <v>0.71372627184744375</v>
      </c>
      <c r="S16" s="314">
        <f t="shared" si="4"/>
        <v>0.66717232007680438</v>
      </c>
    </row>
    <row r="17" spans="1:24">
      <c r="A17" s="11"/>
      <c r="B17" s="259"/>
      <c r="C17" s="259"/>
      <c r="D17" s="259"/>
      <c r="E17" s="259" t="s">
        <v>76</v>
      </c>
      <c r="F17" s="259"/>
      <c r="G17" s="259"/>
      <c r="H17" s="259"/>
      <c r="I17" s="259"/>
      <c r="J17" s="259"/>
      <c r="K17" s="309"/>
      <c r="L17" s="424"/>
      <c r="M17" s="459" t="str">
        <f>M9</f>
        <v>Discount FCF</v>
      </c>
      <c r="N17" s="259">
        <f t="shared" ref="N17:S17" si="5">N15*N16</f>
        <v>8528.9706599804776</v>
      </c>
      <c r="O17" s="259">
        <f t="shared" si="5"/>
        <v>14587.265040877381</v>
      </c>
      <c r="P17" s="259">
        <f t="shared" si="5"/>
        <v>14557.142630201282</v>
      </c>
      <c r="Q17" s="259">
        <f t="shared" si="5"/>
        <v>14335.900323672548</v>
      </c>
      <c r="R17" s="259">
        <f t="shared" si="5"/>
        <v>14128.030921352894</v>
      </c>
      <c r="S17" s="314">
        <f t="shared" si="5"/>
        <v>13415.952498569444</v>
      </c>
      <c r="V17" s="570"/>
      <c r="W17" s="570"/>
      <c r="X17" s="570"/>
    </row>
    <row r="18" spans="1:24">
      <c r="B18" s="568" t="s">
        <v>77</v>
      </c>
      <c r="C18" s="568"/>
      <c r="D18" s="568"/>
      <c r="E18" s="568"/>
      <c r="F18" s="568"/>
      <c r="G18" s="568"/>
      <c r="H18" s="568"/>
      <c r="I18" s="320"/>
      <c r="J18" s="259"/>
      <c r="K18" s="309"/>
      <c r="L18" s="424"/>
      <c r="M18" s="306" t="str">
        <f>M10</f>
        <v>NNV</v>
      </c>
      <c r="N18" s="313">
        <f>SUM(N17:R17)</f>
        <v>66137.309576084575</v>
      </c>
      <c r="O18" s="259"/>
      <c r="P18" s="259"/>
      <c r="Q18" s="259"/>
      <c r="R18" s="259"/>
      <c r="S18" s="18"/>
      <c r="V18" s="570"/>
      <c r="W18" s="570"/>
      <c r="X18" s="570"/>
    </row>
    <row r="19" spans="1:24">
      <c r="B19" s="376" t="s">
        <v>78</v>
      </c>
      <c r="C19" s="377">
        <v>1</v>
      </c>
      <c r="D19" s="377">
        <v>2</v>
      </c>
      <c r="E19" s="377">
        <v>3</v>
      </c>
      <c r="F19" s="377">
        <v>4</v>
      </c>
      <c r="G19" s="377">
        <v>5</v>
      </c>
      <c r="H19" s="378">
        <v>6</v>
      </c>
      <c r="J19" s="259"/>
      <c r="K19" s="303"/>
      <c r="L19" s="458"/>
      <c r="M19" s="307" t="s">
        <v>72</v>
      </c>
      <c r="N19" s="304">
        <f>S17/(L13-L14)</f>
        <v>269515.68652845436</v>
      </c>
      <c r="O19" s="315"/>
      <c r="P19" s="315"/>
      <c r="Q19" s="315"/>
      <c r="R19" s="315"/>
      <c r="S19" s="268"/>
      <c r="V19" s="570"/>
      <c r="W19" s="570"/>
      <c r="X19" s="570"/>
    </row>
    <row r="20" spans="1:24">
      <c r="B20" s="379" t="s">
        <v>79</v>
      </c>
      <c r="C20" s="380">
        <f t="shared" ref="C20:H20" si="6">C11</f>
        <v>9124.1051954063787</v>
      </c>
      <c r="D20" s="380">
        <f t="shared" si="6"/>
        <v>16694.030422142114</v>
      </c>
      <c r="E20" s="380">
        <f t="shared" si="6"/>
        <v>17822.028232564528</v>
      </c>
      <c r="F20" s="380">
        <f t="shared" si="6"/>
        <v>18775.8508275247</v>
      </c>
      <c r="G20" s="380">
        <f t="shared" si="6"/>
        <v>19794.746919968649</v>
      </c>
      <c r="H20" s="381">
        <f t="shared" si="6"/>
        <v>20108.676716421644</v>
      </c>
      <c r="J20" s="259"/>
      <c r="K20" s="259"/>
      <c r="L20" s="424"/>
      <c r="M20" s="259"/>
      <c r="N20" s="259"/>
      <c r="O20" s="259"/>
      <c r="P20" s="259"/>
      <c r="Q20" s="259"/>
      <c r="R20" s="259"/>
    </row>
    <row r="21" spans="1:24">
      <c r="B21" s="379" t="s">
        <v>80</v>
      </c>
      <c r="C21" s="380">
        <f t="shared" ref="C21:H21" si="7">1/(1+$C$12)^C19</f>
        <v>0.94172811823998281</v>
      </c>
      <c r="D21" s="380">
        <f t="shared" si="7"/>
        <v>0.88685184868381906</v>
      </c>
      <c r="E21" s="380">
        <f t="shared" si="7"/>
        <v>0.83517332261866306</v>
      </c>
      <c r="F21" s="380">
        <f t="shared" si="7"/>
        <v>0.78650620151390749</v>
      </c>
      <c r="G21" s="380">
        <f t="shared" si="7"/>
        <v>0.74067500513576889</v>
      </c>
      <c r="H21" s="381">
        <f t="shared" si="7"/>
        <v>0.69751447881389717</v>
      </c>
      <c r="J21" s="259"/>
      <c r="K21" s="259"/>
      <c r="L21" s="424"/>
      <c r="M21" s="259"/>
      <c r="N21" s="259"/>
      <c r="O21" s="259"/>
      <c r="P21" s="259"/>
      <c r="Q21" s="259"/>
      <c r="R21" s="259"/>
    </row>
    <row r="22" spans="1:24">
      <c r="B22" s="382" t="s">
        <v>81</v>
      </c>
      <c r="C22" s="383">
        <f>C20*C21</f>
        <v>8592.4264162936997</v>
      </c>
      <c r="D22" s="380">
        <f t="shared" ref="D22:H22" si="8">D20*D21</f>
        <v>14805.13174186065</v>
      </c>
      <c r="E22" s="383">
        <f t="shared" si="8"/>
        <v>14884.482534794535</v>
      </c>
      <c r="F22" s="383">
        <f t="shared" si="8"/>
        <v>14767.32311454821</v>
      </c>
      <c r="G22" s="383">
        <f t="shared" si="8"/>
        <v>14661.474276609024</v>
      </c>
      <c r="H22" s="384">
        <f t="shared" si="8"/>
        <v>14026.093159491991</v>
      </c>
      <c r="J22" s="259"/>
      <c r="K22" s="259"/>
      <c r="L22" s="424"/>
      <c r="M22" s="259"/>
      <c r="N22" s="259"/>
      <c r="O22" s="259"/>
      <c r="P22" s="259"/>
      <c r="Q22" s="259"/>
      <c r="R22" s="259"/>
    </row>
    <row r="23" spans="1:24">
      <c r="B23" s="379" t="s">
        <v>72</v>
      </c>
      <c r="C23" s="385">
        <f>H20/(C12-C13)</f>
        <v>480177.31871371547</v>
      </c>
      <c r="D23" s="376"/>
      <c r="E23" s="380"/>
      <c r="F23" s="380"/>
      <c r="G23" s="380"/>
      <c r="H23" s="380"/>
      <c r="I23" s="309"/>
      <c r="J23" s="259"/>
      <c r="K23" s="305"/>
      <c r="L23" s="457"/>
      <c r="M23" s="312" t="s">
        <v>82</v>
      </c>
      <c r="N23" s="312"/>
      <c r="O23" s="312"/>
      <c r="P23" s="312"/>
      <c r="Q23" s="312"/>
      <c r="R23" s="312"/>
      <c r="S23" s="301"/>
    </row>
    <row r="24" spans="1:24">
      <c r="B24" s="379" t="s">
        <v>83</v>
      </c>
      <c r="C24" s="385">
        <f>C23/(1+C12)^G19</f>
        <v>355655.33800436096</v>
      </c>
      <c r="D24" s="379"/>
      <c r="E24" s="380"/>
      <c r="F24" s="380"/>
      <c r="G24" s="380"/>
      <c r="H24" s="380"/>
      <c r="I24" s="309"/>
      <c r="J24" s="259"/>
      <c r="K24" s="309" t="s">
        <v>84</v>
      </c>
      <c r="L24" s="424">
        <f>Iterasjon!E5</f>
        <v>6.9780626590861095E-2</v>
      </c>
      <c r="M24" s="459" t="str">
        <f t="shared" ref="M24:S25" si="9">M14</f>
        <v>N</v>
      </c>
      <c r="N24" s="259">
        <f t="shared" si="9"/>
        <v>1</v>
      </c>
      <c r="O24" s="259">
        <f t="shared" si="9"/>
        <v>2</v>
      </c>
      <c r="P24" s="259">
        <f t="shared" si="9"/>
        <v>3</v>
      </c>
      <c r="Q24" s="259">
        <f t="shared" si="9"/>
        <v>4</v>
      </c>
      <c r="R24" s="259">
        <f t="shared" si="9"/>
        <v>5</v>
      </c>
      <c r="S24" s="314">
        <f t="shared" si="9"/>
        <v>6</v>
      </c>
    </row>
    <row r="25" spans="1:24">
      <c r="B25" s="379" t="s">
        <v>85</v>
      </c>
      <c r="C25" s="385">
        <f>SUM(C22:G22)</f>
        <v>67710.838084106115</v>
      </c>
      <c r="D25" s="388"/>
      <c r="E25" s="385"/>
      <c r="F25" s="385"/>
      <c r="G25" s="385"/>
      <c r="H25" s="385"/>
      <c r="I25" s="309"/>
      <c r="J25" s="259"/>
      <c r="K25" s="309" t="s">
        <v>65</v>
      </c>
      <c r="L25" s="424">
        <f>0.02</f>
        <v>0.02</v>
      </c>
      <c r="M25" s="459" t="str">
        <f t="shared" si="9"/>
        <v>FCF</v>
      </c>
      <c r="N25" s="259">
        <f t="shared" si="9"/>
        <v>9124.1051954063787</v>
      </c>
      <c r="O25" s="259">
        <f t="shared" si="9"/>
        <v>16694.030422142114</v>
      </c>
      <c r="P25" s="259">
        <f t="shared" si="9"/>
        <v>17822.028232564528</v>
      </c>
      <c r="Q25" s="259">
        <f t="shared" si="9"/>
        <v>18775.8508275247</v>
      </c>
      <c r="R25" s="259">
        <f t="shared" si="9"/>
        <v>19794.746919968649</v>
      </c>
      <c r="S25" s="314">
        <f t="shared" si="9"/>
        <v>20108.676716421644</v>
      </c>
    </row>
    <row r="26" spans="1:24">
      <c r="B26" s="379" t="s">
        <v>86</v>
      </c>
      <c r="C26" s="385">
        <f>C24+C25</f>
        <v>423366.17608846707</v>
      </c>
      <c r="D26" s="388"/>
      <c r="E26" s="385"/>
      <c r="F26" s="385"/>
      <c r="G26" s="385"/>
      <c r="H26" s="385"/>
      <c r="I26" s="309"/>
      <c r="J26" s="259"/>
      <c r="K26" s="309"/>
      <c r="L26" s="424"/>
      <c r="M26" s="459" t="str">
        <f>M16</f>
        <v>Discount factor</v>
      </c>
      <c r="N26" s="259">
        <f t="shared" ref="N26:S26" si="10">1/(1+$L$24)^N24</f>
        <v>0.93477108777597184</v>
      </c>
      <c r="O26" s="259">
        <f t="shared" si="10"/>
        <v>0.87379698654187354</v>
      </c>
      <c r="P26" s="259">
        <f t="shared" si="10"/>
        <v>0.81680015960511343</v>
      </c>
      <c r="Q26" s="259">
        <f t="shared" si="10"/>
        <v>0.76352117368965922</v>
      </c>
      <c r="R26" s="259">
        <f t="shared" si="10"/>
        <v>0.71371751806986938</v>
      </c>
      <c r="S26" s="314">
        <f t="shared" si="10"/>
        <v>0.66716250073093875</v>
      </c>
    </row>
    <row r="27" spans="1:24" ht="15" thickBot="1">
      <c r="B27" s="391" t="s">
        <v>87</v>
      </c>
      <c r="C27" s="392">
        <f>C26*1000</f>
        <v>423366176.08846706</v>
      </c>
      <c r="D27" s="388"/>
      <c r="E27" s="385"/>
      <c r="F27" s="385"/>
      <c r="G27" s="385"/>
      <c r="H27" s="385"/>
      <c r="I27" s="309"/>
      <c r="J27" s="259"/>
      <c r="K27" s="309"/>
      <c r="L27" s="424"/>
      <c r="M27" s="459" t="str">
        <f>M17</f>
        <v>Discount FCF</v>
      </c>
      <c r="N27" s="259">
        <f t="shared" ref="N27:S27" si="11">N25*N26</f>
        <v>8528.9497384924161</v>
      </c>
      <c r="O27" s="259">
        <f t="shared" si="11"/>
        <v>14587.19347610614</v>
      </c>
      <c r="P27" s="259">
        <f t="shared" si="11"/>
        <v>14557.035504845544</v>
      </c>
      <c r="Q27" s="259">
        <f t="shared" si="11"/>
        <v>14335.759660853619</v>
      </c>
      <c r="R27" s="259">
        <f t="shared" si="11"/>
        <v>14127.857642541216</v>
      </c>
      <c r="S27" s="314">
        <f t="shared" si="11"/>
        <v>13415.755044517866</v>
      </c>
    </row>
    <row r="28" spans="1:24">
      <c r="B28" s="393" t="s">
        <v>88</v>
      </c>
      <c r="C28" s="385">
        <f>Forecast!I58*1000</f>
        <v>101033880</v>
      </c>
      <c r="D28" s="388"/>
      <c r="E28" s="385"/>
      <c r="F28" s="385"/>
      <c r="G28" s="385"/>
      <c r="H28" s="385"/>
      <c r="I28" s="309"/>
      <c r="J28" s="259"/>
      <c r="K28" s="309"/>
      <c r="L28" s="424"/>
      <c r="M28" s="306" t="str">
        <f>M18</f>
        <v>NNV</v>
      </c>
      <c r="N28" s="313">
        <f>SUM(N27:R27)</f>
        <v>66136.796022838927</v>
      </c>
      <c r="O28" s="259"/>
      <c r="P28" s="259"/>
      <c r="Q28" s="259"/>
      <c r="R28" s="259"/>
      <c r="S28" s="18"/>
    </row>
    <row r="29" spans="1:24" ht="15" thickBot="1">
      <c r="B29" s="391" t="s">
        <v>89</v>
      </c>
      <c r="C29" s="392">
        <f>C27-C28</f>
        <v>322332296.08846706</v>
      </c>
      <c r="D29" s="389"/>
      <c r="E29" s="385"/>
      <c r="F29" s="385"/>
      <c r="G29" s="385"/>
      <c r="H29" s="385"/>
      <c r="I29" s="309"/>
      <c r="J29" s="259"/>
      <c r="K29" s="303"/>
      <c r="L29" s="458"/>
      <c r="M29" s="307" t="str">
        <f>M19</f>
        <v>Terminalverdi</v>
      </c>
      <c r="N29" s="304">
        <f>S27/(L24-L25)</f>
        <v>269497.51265245781</v>
      </c>
      <c r="O29" s="315"/>
      <c r="P29" s="315"/>
      <c r="Q29" s="315"/>
      <c r="R29" s="315"/>
      <c r="S29" s="268"/>
    </row>
    <row r="30" spans="1:24">
      <c r="D30" s="260">
        <f>H22/(1+C12)^6</f>
        <v>9783.403059938224</v>
      </c>
      <c r="E30" s="387"/>
      <c r="F30" s="387"/>
      <c r="G30" s="387"/>
      <c r="H30" s="387"/>
      <c r="I30" s="259"/>
      <c r="J30" s="259"/>
      <c r="K30" s="259"/>
      <c r="L30" s="259"/>
      <c r="M30" s="259"/>
      <c r="N30" s="259"/>
      <c r="O30" s="259"/>
      <c r="P30" s="259"/>
      <c r="Q30" s="259"/>
      <c r="R30" s="259"/>
    </row>
    <row r="31" spans="1:24">
      <c r="B31" s="463">
        <f>NPV(C12,C20:G20)</f>
        <v>67710.83808410613</v>
      </c>
      <c r="D31" s="260"/>
      <c r="E31" s="260"/>
      <c r="F31" s="260"/>
      <c r="G31" s="260"/>
      <c r="H31" s="260"/>
      <c r="I31" s="259"/>
      <c r="J31" s="259"/>
      <c r="K31" s="259"/>
      <c r="L31" s="259"/>
      <c r="M31" s="259"/>
      <c r="N31" s="259"/>
      <c r="O31" s="259"/>
      <c r="P31" s="259"/>
      <c r="Q31" s="259"/>
      <c r="R31" s="259"/>
    </row>
    <row r="32" spans="1:24">
      <c r="B32" s="259"/>
      <c r="C32" s="260"/>
      <c r="D32" s="260"/>
      <c r="E32" s="260"/>
      <c r="F32" s="260"/>
      <c r="G32" s="260"/>
      <c r="H32" s="260"/>
      <c r="I32" s="259"/>
      <c r="J32" s="259"/>
      <c r="K32" s="259"/>
      <c r="L32" s="259"/>
      <c r="M32" s="259"/>
      <c r="N32" s="259"/>
      <c r="O32" s="259"/>
      <c r="P32" s="259"/>
      <c r="Q32" s="259"/>
      <c r="R32" s="259"/>
    </row>
    <row r="33" spans="2:19">
      <c r="B33" s="306" t="s">
        <v>90</v>
      </c>
      <c r="C33" s="308">
        <f>H20/(C12-C13)</f>
        <v>480177.31871371547</v>
      </c>
      <c r="D33" s="260"/>
      <c r="E33" s="260"/>
      <c r="F33" s="260"/>
      <c r="G33" s="260"/>
      <c r="H33" s="260"/>
      <c r="I33" s="259"/>
      <c r="J33" s="259"/>
      <c r="K33" s="305"/>
      <c r="L33" s="312"/>
      <c r="M33" s="312" t="s">
        <v>91</v>
      </c>
      <c r="N33" s="312"/>
      <c r="O33" s="312"/>
      <c r="P33" s="312"/>
      <c r="Q33" s="312"/>
      <c r="R33" s="312"/>
      <c r="S33" s="301"/>
    </row>
    <row r="34" spans="2:19">
      <c r="B34" s="317" t="s">
        <v>92</v>
      </c>
      <c r="C34" s="319">
        <f>C12</f>
        <v>6.1877606319032649E-2</v>
      </c>
      <c r="D34" s="260"/>
      <c r="E34" s="260"/>
      <c r="F34" s="260"/>
      <c r="G34" s="260"/>
      <c r="H34" s="260"/>
      <c r="I34" s="259"/>
      <c r="J34" s="259"/>
      <c r="K34" s="309" t="s">
        <v>93</v>
      </c>
      <c r="L34" s="454">
        <f>Iterasjon!F5</f>
        <v>6.9780578895831599E-2</v>
      </c>
      <c r="M34" s="459" t="str">
        <f t="shared" ref="M34:S35" si="12">M24</f>
        <v>N</v>
      </c>
      <c r="N34" s="259">
        <f t="shared" si="12"/>
        <v>1</v>
      </c>
      <c r="O34" s="259">
        <f t="shared" si="12"/>
        <v>2</v>
      </c>
      <c r="P34" s="259">
        <f t="shared" si="12"/>
        <v>3</v>
      </c>
      <c r="Q34" s="259">
        <f t="shared" si="12"/>
        <v>4</v>
      </c>
      <c r="R34" s="259">
        <f t="shared" si="12"/>
        <v>5</v>
      </c>
      <c r="S34" s="314">
        <f t="shared" si="12"/>
        <v>6</v>
      </c>
    </row>
    <row r="35" spans="2:19">
      <c r="B35" s="307" t="s">
        <v>94</v>
      </c>
      <c r="C35" s="318">
        <f>C13</f>
        <v>0.02</v>
      </c>
      <c r="D35" s="260"/>
      <c r="E35" s="260"/>
      <c r="F35" s="260"/>
      <c r="G35" s="260"/>
      <c r="H35" s="260"/>
      <c r="I35" s="259"/>
      <c r="J35" s="259"/>
      <c r="K35" s="309" t="s">
        <v>65</v>
      </c>
      <c r="L35" s="454">
        <f>0.02</f>
        <v>0.02</v>
      </c>
      <c r="M35" s="459" t="str">
        <f t="shared" si="12"/>
        <v>FCF</v>
      </c>
      <c r="N35" s="259">
        <f t="shared" si="12"/>
        <v>9124.1051954063787</v>
      </c>
      <c r="O35" s="259">
        <f t="shared" si="12"/>
        <v>16694.030422142114</v>
      </c>
      <c r="P35" s="259">
        <f t="shared" si="12"/>
        <v>17822.028232564528</v>
      </c>
      <c r="Q35" s="259">
        <f t="shared" si="12"/>
        <v>18775.8508275247</v>
      </c>
      <c r="R35" s="259">
        <f t="shared" si="12"/>
        <v>19794.746919968649</v>
      </c>
      <c r="S35" s="314">
        <f t="shared" si="12"/>
        <v>20108.676716421644</v>
      </c>
    </row>
    <row r="36" spans="2:19">
      <c r="B36" s="567" t="s">
        <v>95</v>
      </c>
      <c r="C36" s="567"/>
      <c r="D36" s="567"/>
      <c r="E36" s="567"/>
      <c r="F36" s="567"/>
      <c r="G36" s="567"/>
      <c r="H36" s="567"/>
      <c r="I36" s="259"/>
      <c r="J36" s="259"/>
      <c r="K36" s="309"/>
      <c r="L36" s="454"/>
      <c r="M36" s="459" t="str">
        <f>M26</f>
        <v>Discount factor</v>
      </c>
      <c r="N36" s="259">
        <f t="shared" ref="N36:S36" si="13">1/(1+$L$34)^N34</f>
        <v>0.93477112945174667</v>
      </c>
      <c r="O36" s="259">
        <f t="shared" si="13"/>
        <v>0.8737970644564943</v>
      </c>
      <c r="P36" s="259">
        <f t="shared" si="13"/>
        <v>0.81680026885361789</v>
      </c>
      <c r="Q36" s="259">
        <f t="shared" si="13"/>
        <v>0.76352130985278677</v>
      </c>
      <c r="R36" s="259">
        <f t="shared" si="13"/>
        <v>0.71371767717156664</v>
      </c>
      <c r="S36" s="314">
        <f t="shared" si="13"/>
        <v>0.66716267919934247</v>
      </c>
    </row>
    <row r="37" spans="2:19">
      <c r="B37" s="259"/>
      <c r="C37" s="260">
        <v>1</v>
      </c>
      <c r="D37" s="260">
        <v>2</v>
      </c>
      <c r="E37" s="260">
        <v>3</v>
      </c>
      <c r="F37" s="260">
        <v>4</v>
      </c>
      <c r="G37" s="260">
        <v>5</v>
      </c>
      <c r="H37" s="260">
        <v>6</v>
      </c>
      <c r="I37" s="259"/>
      <c r="J37" s="259"/>
      <c r="K37" s="309"/>
      <c r="L37" s="454"/>
      <c r="M37" s="459" t="str">
        <f>M27</f>
        <v>Discount FCF</v>
      </c>
      <c r="N37" s="259">
        <f t="shared" ref="N37:S37" si="14">N35*N36</f>
        <v>8528.9501187465703</v>
      </c>
      <c r="O37" s="259">
        <f t="shared" si="14"/>
        <v>14587.194776815189</v>
      </c>
      <c r="P37" s="259">
        <f t="shared" si="14"/>
        <v>14557.037451875474</v>
      </c>
      <c r="Q37" s="259">
        <f t="shared" si="14"/>
        <v>14335.76221743219</v>
      </c>
      <c r="R37" s="259">
        <f t="shared" si="14"/>
        <v>14127.860791919047</v>
      </c>
      <c r="S37" s="314">
        <f t="shared" si="14"/>
        <v>13415.758633281301</v>
      </c>
    </row>
    <row r="38" spans="2:19">
      <c r="B38" s="305" t="s">
        <v>96</v>
      </c>
      <c r="C38" s="36">
        <v>2023</v>
      </c>
      <c r="D38" s="36">
        <v>2024</v>
      </c>
      <c r="E38" s="36">
        <v>2025</v>
      </c>
      <c r="F38" s="36">
        <v>2026</v>
      </c>
      <c r="G38" s="36">
        <v>2027</v>
      </c>
      <c r="H38" s="322" t="s">
        <v>5</v>
      </c>
      <c r="I38" s="259"/>
      <c r="J38" s="259"/>
      <c r="K38" s="309"/>
      <c r="L38" s="454"/>
      <c r="M38" s="306" t="str">
        <f>M28</f>
        <v>NNV</v>
      </c>
      <c r="N38" s="313">
        <f>SUM(N37:R37)</f>
        <v>66136.805356788478</v>
      </c>
      <c r="O38" s="259"/>
      <c r="P38" s="259"/>
      <c r="Q38" s="259"/>
      <c r="R38" s="259"/>
      <c r="S38" s="18"/>
    </row>
    <row r="39" spans="2:19">
      <c r="B39" s="309" t="s">
        <v>97</v>
      </c>
      <c r="C39" s="260">
        <f>C11</f>
        <v>9124.1051954063787</v>
      </c>
      <c r="D39" s="260">
        <f>D11</f>
        <v>16694.030422142114</v>
      </c>
      <c r="E39" s="260">
        <f>E11</f>
        <v>17822.028232564528</v>
      </c>
      <c r="F39" s="260">
        <f>F11</f>
        <v>18775.8508275247</v>
      </c>
      <c r="G39" s="260">
        <f>G11</f>
        <v>19794.746919968649</v>
      </c>
      <c r="H39" s="310">
        <f>C33</f>
        <v>480177.31871371547</v>
      </c>
      <c r="I39" s="259"/>
      <c r="J39" s="259"/>
      <c r="K39" s="303"/>
      <c r="L39" s="455"/>
      <c r="M39" s="307" t="s">
        <v>72</v>
      </c>
      <c r="N39" s="304">
        <f>S37/(L34-L35)</f>
        <v>269497.84295105247</v>
      </c>
      <c r="O39" s="315"/>
      <c r="P39" s="315"/>
      <c r="Q39" s="315"/>
      <c r="R39" s="315"/>
      <c r="S39" s="268"/>
    </row>
    <row r="40" spans="2:19">
      <c r="B40" s="309" t="s">
        <v>98</v>
      </c>
      <c r="C40" s="260">
        <f t="shared" ref="C40:G40" si="15">C39/(1+$C$34)^C37</f>
        <v>8592.4264162936997</v>
      </c>
      <c r="D40" s="321">
        <f t="shared" si="15"/>
        <v>14805.13174186065</v>
      </c>
      <c r="E40" s="321">
        <f t="shared" si="15"/>
        <v>14884.482534794535</v>
      </c>
      <c r="F40" s="321">
        <f t="shared" si="15"/>
        <v>14767.32311454821</v>
      </c>
      <c r="G40" s="321">
        <f t="shared" si="15"/>
        <v>14661.474276609024</v>
      </c>
      <c r="H40" s="311">
        <f>H39/(1+$C$34)^G37</f>
        <v>355655.33800436096</v>
      </c>
      <c r="I40" s="259"/>
      <c r="J40" s="259"/>
      <c r="K40" s="259"/>
      <c r="L40" s="454"/>
      <c r="M40" s="259"/>
      <c r="N40" s="259"/>
      <c r="O40" s="259"/>
      <c r="P40" s="259"/>
      <c r="Q40" s="259"/>
      <c r="R40" s="259"/>
    </row>
    <row r="41" spans="2:19">
      <c r="B41" s="305" t="s">
        <v>99</v>
      </c>
      <c r="C41" s="308">
        <f>SUM(C40:H40)</f>
        <v>423366.17608846707</v>
      </c>
      <c r="D41" s="260"/>
      <c r="E41" s="260"/>
      <c r="F41" s="260"/>
      <c r="G41" s="260"/>
      <c r="H41" s="260"/>
      <c r="I41" s="259"/>
      <c r="J41" s="259"/>
      <c r="K41" s="259"/>
      <c r="L41" s="454"/>
      <c r="M41" s="259"/>
      <c r="N41" s="259"/>
      <c r="O41" s="259"/>
      <c r="P41" s="259"/>
      <c r="Q41" s="259"/>
      <c r="R41" s="259"/>
    </row>
    <row r="42" spans="2:19">
      <c r="B42" s="309" t="s">
        <v>99</v>
      </c>
      <c r="C42" s="310">
        <f>C41*1000</f>
        <v>423366176.08846706</v>
      </c>
      <c r="D42" s="260"/>
      <c r="E42" s="260"/>
      <c r="F42" s="260"/>
      <c r="G42" s="260"/>
      <c r="H42" s="260"/>
      <c r="I42" s="259"/>
      <c r="J42" s="259"/>
      <c r="K42" s="305"/>
      <c r="L42" s="456"/>
      <c r="M42" s="312" t="s">
        <v>100</v>
      </c>
      <c r="N42" s="312"/>
      <c r="O42" s="312"/>
      <c r="P42" s="312"/>
      <c r="Q42" s="312"/>
      <c r="R42" s="312"/>
      <c r="S42" s="301"/>
    </row>
    <row r="43" spans="2:19">
      <c r="B43" s="309" t="s">
        <v>88</v>
      </c>
      <c r="C43" s="310">
        <f>C28</f>
        <v>101033880</v>
      </c>
      <c r="D43" s="260"/>
      <c r="E43" s="260"/>
      <c r="F43" s="260"/>
      <c r="G43" s="260"/>
      <c r="H43" s="260"/>
      <c r="I43" s="259"/>
      <c r="J43" s="259"/>
      <c r="K43" s="309" t="s">
        <v>62</v>
      </c>
      <c r="L43" s="454">
        <f>Iterasjon!G5</f>
        <v>6.9780579762708489E-2</v>
      </c>
      <c r="M43" s="459" t="str">
        <f t="shared" ref="M43:S44" si="16">M34</f>
        <v>N</v>
      </c>
      <c r="N43" s="259">
        <f t="shared" si="16"/>
        <v>1</v>
      </c>
      <c r="O43" s="259">
        <f t="shared" si="16"/>
        <v>2</v>
      </c>
      <c r="P43" s="259">
        <f t="shared" si="16"/>
        <v>3</v>
      </c>
      <c r="Q43" s="259">
        <f t="shared" si="16"/>
        <v>4</v>
      </c>
      <c r="R43" s="259">
        <f t="shared" si="16"/>
        <v>5</v>
      </c>
      <c r="S43" s="314">
        <f t="shared" si="16"/>
        <v>6</v>
      </c>
    </row>
    <row r="44" spans="2:19">
      <c r="B44" s="303" t="s">
        <v>101</v>
      </c>
      <c r="C44" s="311">
        <f>C42-C43</f>
        <v>322332296.08846706</v>
      </c>
      <c r="D44" s="260"/>
      <c r="E44" s="260"/>
      <c r="F44" s="260"/>
      <c r="G44" s="260"/>
      <c r="H44" s="260"/>
      <c r="I44" s="259"/>
      <c r="J44" s="259"/>
      <c r="K44" s="309" t="s">
        <v>65</v>
      </c>
      <c r="L44" s="454">
        <f>0.02</f>
        <v>0.02</v>
      </c>
      <c r="M44" s="459" t="str">
        <f t="shared" si="16"/>
        <v>FCF</v>
      </c>
      <c r="N44" s="259">
        <f t="shared" si="16"/>
        <v>9124.1051954063787</v>
      </c>
      <c r="O44" s="259">
        <f t="shared" si="16"/>
        <v>16694.030422142114</v>
      </c>
      <c r="P44" s="259">
        <f t="shared" si="16"/>
        <v>17822.028232564528</v>
      </c>
      <c r="Q44" s="259">
        <f t="shared" si="16"/>
        <v>18775.8508275247</v>
      </c>
      <c r="R44" s="259">
        <f t="shared" si="16"/>
        <v>19794.746919968649</v>
      </c>
      <c r="S44" s="314">
        <f t="shared" si="16"/>
        <v>20108.676716421644</v>
      </c>
    </row>
    <row r="45" spans="2:19">
      <c r="B45" s="259"/>
      <c r="C45" s="260"/>
      <c r="D45" s="260"/>
      <c r="E45" s="260"/>
      <c r="F45" s="260"/>
      <c r="G45" s="260"/>
      <c r="H45" s="260"/>
      <c r="I45" s="259"/>
      <c r="J45" s="259"/>
      <c r="K45" s="309"/>
      <c r="L45" s="454"/>
      <c r="M45" s="459" t="str">
        <f>M36</f>
        <v>Discount factor</v>
      </c>
      <c r="N45" s="259">
        <f t="shared" ref="N45:S45" si="17">1/(1+$L$43)^N43</f>
        <v>0.93477112869427237</v>
      </c>
      <c r="O45" s="259">
        <f t="shared" si="17"/>
        <v>0.87379706304036386</v>
      </c>
      <c r="P45" s="259">
        <f t="shared" si="17"/>
        <v>0.81680026686798113</v>
      </c>
      <c r="Q45" s="259">
        <f t="shared" si="17"/>
        <v>0.76352130737796553</v>
      </c>
      <c r="R45" s="259">
        <f t="shared" si="17"/>
        <v>0.71371767427982735</v>
      </c>
      <c r="S45" s="314">
        <f t="shared" si="17"/>
        <v>0.66716267595560519</v>
      </c>
    </row>
    <row r="46" spans="2:19">
      <c r="B46" s="259"/>
      <c r="C46" s="260"/>
      <c r="D46" s="260"/>
      <c r="E46" s="260"/>
      <c r="F46" s="260"/>
      <c r="G46" s="260"/>
      <c r="H46" s="260"/>
      <c r="I46" s="259"/>
      <c r="J46" s="259"/>
      <c r="K46" s="309"/>
      <c r="L46" s="454"/>
      <c r="M46" s="459" t="str">
        <f>M37</f>
        <v>Discount FCF</v>
      </c>
      <c r="N46">
        <f t="shared" ref="N46:S46" si="18">N44*N45</f>
        <v>8528.9501118352946</v>
      </c>
      <c r="O46">
        <f t="shared" si="18"/>
        <v>14587.194753174264</v>
      </c>
      <c r="P46">
        <f t="shared" si="18"/>
        <v>14557.037416487401</v>
      </c>
      <c r="Q46">
        <f t="shared" si="18"/>
        <v>14335.762170965316</v>
      </c>
      <c r="R46">
        <f t="shared" si="18"/>
        <v>14127.860734677801</v>
      </c>
      <c r="S46" s="18">
        <f t="shared" si="18"/>
        <v>13415.758568054036</v>
      </c>
    </row>
    <row r="47" spans="2:19">
      <c r="B47" s="259"/>
      <c r="C47" s="260"/>
      <c r="D47" s="260"/>
      <c r="E47" s="260"/>
      <c r="F47" s="260"/>
      <c r="G47" s="260"/>
      <c r="H47" s="260"/>
      <c r="I47" s="259"/>
      <c r="J47" s="259"/>
      <c r="K47" s="309"/>
      <c r="L47" s="454"/>
      <c r="M47" s="306" t="str">
        <f>M38</f>
        <v>NNV</v>
      </c>
      <c r="N47" s="313">
        <f>SUM(N46:R46)</f>
        <v>66136.805187140082</v>
      </c>
      <c r="O47" s="259"/>
      <c r="P47" s="259"/>
      <c r="Q47" s="259"/>
      <c r="R47" s="259"/>
      <c r="S47" s="18"/>
    </row>
    <row r="48" spans="2:19">
      <c r="B48" s="259" t="s">
        <v>102</v>
      </c>
      <c r="C48">
        <f>2%</f>
        <v>0.02</v>
      </c>
      <c r="H48" s="260"/>
      <c r="I48" s="259"/>
      <c r="J48" s="259"/>
      <c r="K48" s="303"/>
      <c r="L48" s="455"/>
      <c r="M48" s="307" t="str">
        <f>M39</f>
        <v>Terminalverdi</v>
      </c>
      <c r="N48" s="304">
        <f>S46/(L43-L44)</f>
        <v>269497.83694773313</v>
      </c>
      <c r="O48" s="315"/>
      <c r="P48" s="315"/>
      <c r="Q48" s="315"/>
      <c r="R48" s="315"/>
      <c r="S48" s="268"/>
    </row>
    <row r="49" spans="2:19">
      <c r="B49" t="s">
        <v>103</v>
      </c>
      <c r="C49">
        <f>'KVM før iterasjon'!E34</f>
        <v>0</v>
      </c>
      <c r="D49" s="260"/>
      <c r="E49" s="260"/>
      <c r="F49" s="260"/>
      <c r="G49" s="260"/>
      <c r="H49" s="260"/>
      <c r="I49" s="259"/>
      <c r="J49" s="259"/>
      <c r="K49" s="259"/>
      <c r="L49" s="454"/>
      <c r="M49" s="259"/>
      <c r="N49" s="259"/>
      <c r="O49" s="259"/>
      <c r="P49" s="259"/>
      <c r="Q49" s="259"/>
      <c r="R49" s="259"/>
    </row>
    <row r="50" spans="2:19">
      <c r="B50" s="259" t="s">
        <v>104</v>
      </c>
      <c r="C50">
        <f>0.0726</f>
        <v>7.2599999999999998E-2</v>
      </c>
      <c r="D50" s="260"/>
      <c r="E50" s="260"/>
      <c r="F50" s="260"/>
      <c r="G50" s="260"/>
      <c r="H50" s="260"/>
      <c r="I50" s="259"/>
      <c r="J50" s="259"/>
      <c r="K50" s="259"/>
      <c r="L50" s="454"/>
      <c r="M50" s="259"/>
      <c r="N50" s="259"/>
      <c r="O50" s="259"/>
      <c r="P50" s="259"/>
      <c r="Q50" s="259"/>
      <c r="R50" s="259"/>
    </row>
    <row r="51" spans="2:19">
      <c r="C51" s="260">
        <v>2021</v>
      </c>
      <c r="D51" s="260">
        <v>2022</v>
      </c>
      <c r="E51" s="260">
        <v>2023</v>
      </c>
      <c r="F51" s="260">
        <v>2024</v>
      </c>
      <c r="G51" s="260">
        <v>2025</v>
      </c>
      <c r="H51" s="260"/>
      <c r="I51" s="259"/>
      <c r="J51" s="259"/>
      <c r="K51" s="259"/>
      <c r="L51" s="454"/>
      <c r="M51" s="259"/>
      <c r="N51" s="259"/>
      <c r="O51" s="259"/>
      <c r="P51" s="259"/>
      <c r="Q51" s="259"/>
      <c r="R51" s="259"/>
    </row>
    <row r="52" spans="2:19">
      <c r="B52" s="259"/>
      <c r="C52">
        <v>1</v>
      </c>
      <c r="D52">
        <v>2</v>
      </c>
      <c r="E52">
        <v>3</v>
      </c>
      <c r="F52">
        <v>4</v>
      </c>
      <c r="G52">
        <v>5</v>
      </c>
      <c r="H52" s="260"/>
      <c r="I52" s="259"/>
      <c r="J52" s="259"/>
      <c r="K52" s="305"/>
      <c r="L52" s="456"/>
      <c r="M52" s="312" t="s">
        <v>494</v>
      </c>
      <c r="N52" s="312"/>
      <c r="O52" s="312"/>
      <c r="P52" s="312"/>
      <c r="Q52" s="312"/>
      <c r="R52" s="312"/>
      <c r="S52" s="301"/>
    </row>
    <row r="53" spans="2:19">
      <c r="B53" t="s">
        <v>79</v>
      </c>
      <c r="C53">
        <f>74871</f>
        <v>74871</v>
      </c>
      <c r="D53">
        <f>103293</f>
        <v>103293</v>
      </c>
      <c r="E53">
        <f>114106</f>
        <v>114106</v>
      </c>
      <c r="F53">
        <f>111113</f>
        <v>111113</v>
      </c>
      <c r="G53">
        <f>123319</f>
        <v>123319</v>
      </c>
      <c r="I53" s="259"/>
      <c r="J53" s="259"/>
      <c r="K53" s="309" t="s">
        <v>62</v>
      </c>
      <c r="L53" s="454">
        <f>Iterasjon!H5</f>
        <v>6.9780579746952648E-2</v>
      </c>
      <c r="M53" s="459" t="str">
        <f t="shared" ref="M53:S54" si="19">M43</f>
        <v>N</v>
      </c>
      <c r="N53" s="259">
        <f t="shared" si="19"/>
        <v>1</v>
      </c>
      <c r="O53" s="259">
        <f t="shared" si="19"/>
        <v>2</v>
      </c>
      <c r="P53" s="259">
        <f t="shared" si="19"/>
        <v>3</v>
      </c>
      <c r="Q53" s="259">
        <f t="shared" si="19"/>
        <v>4</v>
      </c>
      <c r="R53" s="259">
        <f t="shared" si="19"/>
        <v>5</v>
      </c>
      <c r="S53" s="314">
        <f t="shared" si="19"/>
        <v>6</v>
      </c>
    </row>
    <row r="54" spans="2:19">
      <c r="B54" t="s">
        <v>105</v>
      </c>
      <c r="C54">
        <f>C53/(1+$C$49)^C52</f>
        <v>74871</v>
      </c>
      <c r="D54">
        <f>D53/(1+$C$49)^D52</f>
        <v>103293</v>
      </c>
      <c r="E54">
        <f>E53/(1+$C$49)^E52</f>
        <v>114106</v>
      </c>
      <c r="F54">
        <f>F53/(1+$C$49)^F52</f>
        <v>111113</v>
      </c>
      <c r="G54">
        <f>G53/(1+$C$49)^G52</f>
        <v>123319</v>
      </c>
      <c r="I54" s="259"/>
      <c r="J54" s="259"/>
      <c r="K54" s="309" t="s">
        <v>65</v>
      </c>
      <c r="L54" s="454">
        <f>0.02</f>
        <v>0.02</v>
      </c>
      <c r="M54" s="459" t="str">
        <f t="shared" si="19"/>
        <v>FCF</v>
      </c>
      <c r="N54" s="259">
        <f t="shared" si="19"/>
        <v>9124.1051954063787</v>
      </c>
      <c r="O54" s="259">
        <f t="shared" si="19"/>
        <v>16694.030422142114</v>
      </c>
      <c r="P54" s="259">
        <f t="shared" si="19"/>
        <v>17822.028232564528</v>
      </c>
      <c r="Q54" s="259">
        <f t="shared" si="19"/>
        <v>18775.8508275247</v>
      </c>
      <c r="R54" s="259">
        <f t="shared" si="19"/>
        <v>19794.746919968649</v>
      </c>
      <c r="S54" s="314">
        <f t="shared" si="19"/>
        <v>20108.676716421644</v>
      </c>
    </row>
    <row r="55" spans="2:19">
      <c r="B55">
        <f>SUM(C54:G54)</f>
        <v>526702</v>
      </c>
      <c r="I55" s="259"/>
      <c r="J55" s="259"/>
      <c r="K55" s="309"/>
      <c r="L55" s="454"/>
      <c r="M55" s="459" t="str">
        <f>M45</f>
        <v>Discount factor</v>
      </c>
      <c r="N55" s="259">
        <f t="shared" ref="N55:S55" si="20">1/(1+$L$53)^N53</f>
        <v>0.93477112870803969</v>
      </c>
      <c r="O55" s="259">
        <f t="shared" si="20"/>
        <v>0.87379706306610261</v>
      </c>
      <c r="P55" s="259">
        <f t="shared" si="20"/>
        <v>0.81680026690407093</v>
      </c>
      <c r="Q55" s="259">
        <f t="shared" si="20"/>
        <v>0.76352130742294655</v>
      </c>
      <c r="R55" s="259">
        <f t="shared" si="20"/>
        <v>0.71371767433238587</v>
      </c>
      <c r="S55" s="314">
        <f t="shared" si="20"/>
        <v>0.66716267601456158</v>
      </c>
    </row>
    <row r="56" spans="2:19">
      <c r="B56" t="s">
        <v>106</v>
      </c>
      <c r="C56">
        <f>G54/(C50-C48)</f>
        <v>2344467.6806083652</v>
      </c>
      <c r="I56" s="259"/>
      <c r="J56" s="259"/>
      <c r="K56" s="309"/>
      <c r="L56" s="454"/>
      <c r="M56" s="459" t="str">
        <f>M46</f>
        <v>Discount FCF</v>
      </c>
      <c r="N56" s="259">
        <f t="shared" ref="N56:S56" si="21">N54*N55</f>
        <v>8528.9501119609104</v>
      </c>
      <c r="O56" s="259">
        <f t="shared" si="21"/>
        <v>14587.194753603948</v>
      </c>
      <c r="P56" s="259">
        <f t="shared" si="21"/>
        <v>14557.037417130594</v>
      </c>
      <c r="Q56" s="259">
        <f t="shared" si="21"/>
        <v>14335.762171809873</v>
      </c>
      <c r="R56" s="259">
        <f t="shared" si="21"/>
        <v>14127.860735718183</v>
      </c>
      <c r="S56" s="453">
        <f t="shared" si="21"/>
        <v>13415.758569239571</v>
      </c>
    </row>
    <row r="57" spans="2:19">
      <c r="I57" s="259"/>
      <c r="J57" s="259"/>
      <c r="K57" s="309"/>
      <c r="L57" s="454"/>
      <c r="M57" s="306" t="str">
        <f>M47</f>
        <v>NNV</v>
      </c>
      <c r="N57" s="313">
        <f>SUM(N56:R56)</f>
        <v>66136.805190223502</v>
      </c>
      <c r="O57" s="259"/>
      <c r="P57" s="259"/>
      <c r="Q57" s="259"/>
      <c r="R57" s="259"/>
      <c r="S57" s="18"/>
    </row>
    <row r="58" spans="2:19">
      <c r="I58" s="259"/>
      <c r="J58" s="259"/>
      <c r="K58" s="303"/>
      <c r="L58" s="455"/>
      <c r="M58" s="307" t="str">
        <f>M48</f>
        <v>Terminalverdi</v>
      </c>
      <c r="N58" s="304">
        <f>S56/(L53-L54)</f>
        <v>269497.83705684601</v>
      </c>
      <c r="O58" s="315"/>
      <c r="P58" s="315"/>
      <c r="Q58" s="315"/>
      <c r="R58" s="315"/>
      <c r="S58" s="268"/>
    </row>
    <row r="59" spans="2:19">
      <c r="I59" s="259"/>
      <c r="J59" s="259"/>
      <c r="K59" s="259"/>
      <c r="L59" s="454"/>
      <c r="M59" s="259"/>
      <c r="N59" s="259"/>
      <c r="O59" s="259"/>
      <c r="P59" s="259"/>
      <c r="Q59" s="259"/>
      <c r="R59" s="259"/>
    </row>
    <row r="60" spans="2:19">
      <c r="I60" s="259"/>
      <c r="J60" s="259"/>
      <c r="K60" s="259"/>
      <c r="L60" s="454"/>
      <c r="M60" s="259"/>
      <c r="N60" s="259"/>
      <c r="O60" s="259"/>
      <c r="P60" s="259"/>
      <c r="Q60" s="259"/>
      <c r="R60" s="259"/>
    </row>
    <row r="61" spans="2:19">
      <c r="B61" s="259"/>
      <c r="C61" s="259"/>
      <c r="D61" s="259"/>
      <c r="E61" s="259"/>
      <c r="F61" s="259"/>
      <c r="G61" s="259"/>
      <c r="H61" s="259"/>
      <c r="I61" s="259"/>
      <c r="J61" s="259"/>
      <c r="K61" s="305"/>
      <c r="L61" s="456"/>
      <c r="M61" s="312" t="s">
        <v>107</v>
      </c>
      <c r="N61" s="312"/>
      <c r="O61" s="312"/>
      <c r="P61" s="312"/>
      <c r="Q61" s="312"/>
      <c r="R61" s="312"/>
      <c r="S61" s="301"/>
    </row>
    <row r="62" spans="2:19">
      <c r="B62" s="259"/>
      <c r="C62" s="259"/>
      <c r="D62" s="259"/>
      <c r="E62" s="259"/>
      <c r="F62" s="259"/>
      <c r="G62" s="259"/>
      <c r="H62" s="259"/>
      <c r="I62" s="259"/>
      <c r="J62" s="259"/>
      <c r="K62" s="309" t="s">
        <v>93</v>
      </c>
      <c r="L62" s="454">
        <f>Iterasjon!I5</f>
        <v>6.9780579747239016E-2</v>
      </c>
      <c r="M62" s="459" t="str">
        <f t="shared" ref="M62:S63" si="22">M53</f>
        <v>N</v>
      </c>
      <c r="N62" s="259">
        <f t="shared" si="22"/>
        <v>1</v>
      </c>
      <c r="O62" s="259">
        <f t="shared" si="22"/>
        <v>2</v>
      </c>
      <c r="P62" s="259">
        <f t="shared" si="22"/>
        <v>3</v>
      </c>
      <c r="Q62" s="259">
        <f t="shared" si="22"/>
        <v>4</v>
      </c>
      <c r="R62" s="259">
        <f t="shared" si="22"/>
        <v>5</v>
      </c>
      <c r="S62" s="314">
        <f t="shared" si="22"/>
        <v>6</v>
      </c>
    </row>
    <row r="63" spans="2:19">
      <c r="B63" s="259"/>
      <c r="C63" s="259"/>
      <c r="D63" s="259"/>
      <c r="E63" s="259"/>
      <c r="F63" s="259"/>
      <c r="G63" s="259"/>
      <c r="H63" s="259"/>
      <c r="I63" s="259"/>
      <c r="J63" s="259"/>
      <c r="K63" s="309" t="s">
        <v>65</v>
      </c>
      <c r="L63" s="454">
        <f>0.02</f>
        <v>0.02</v>
      </c>
      <c r="M63" s="459" t="str">
        <f t="shared" si="22"/>
        <v>FCF</v>
      </c>
      <c r="N63" s="259">
        <f t="shared" si="22"/>
        <v>9124.1051954063787</v>
      </c>
      <c r="O63" s="259">
        <f t="shared" si="22"/>
        <v>16694.030422142114</v>
      </c>
      <c r="P63" s="259">
        <f t="shared" si="22"/>
        <v>17822.028232564528</v>
      </c>
      <c r="Q63" s="259">
        <f t="shared" si="22"/>
        <v>18775.8508275247</v>
      </c>
      <c r="R63" s="259">
        <f t="shared" si="22"/>
        <v>19794.746919968649</v>
      </c>
      <c r="S63" s="314">
        <f t="shared" si="22"/>
        <v>20108.676716421644</v>
      </c>
    </row>
    <row r="64" spans="2:19">
      <c r="B64" s="259"/>
      <c r="C64" s="259"/>
      <c r="D64" s="259"/>
      <c r="E64" s="259"/>
      <c r="F64" s="259"/>
      <c r="G64" s="259"/>
      <c r="H64" s="259"/>
      <c r="I64" s="259"/>
      <c r="J64" s="259"/>
      <c r="K64" s="309"/>
      <c r="L64" s="454"/>
      <c r="M64" s="459" t="str">
        <f>M55</f>
        <v>Discount factor</v>
      </c>
      <c r="N64" s="259">
        <f t="shared" ref="N64:S64" si="23">1/(1+$L$62)^N62</f>
        <v>0.93477112870778944</v>
      </c>
      <c r="O64" s="259">
        <f t="shared" si="23"/>
        <v>0.87379706306563465</v>
      </c>
      <c r="P64" s="259">
        <f t="shared" si="23"/>
        <v>0.81680026690341478</v>
      </c>
      <c r="Q64" s="259">
        <f t="shared" si="23"/>
        <v>0.76352130742212876</v>
      </c>
      <c r="R64" s="259">
        <f t="shared" si="23"/>
        <v>0.71371767433143041</v>
      </c>
      <c r="S64" s="314">
        <f t="shared" si="23"/>
        <v>0.66716267601348966</v>
      </c>
    </row>
    <row r="65" spans="2:19">
      <c r="B65" s="259"/>
      <c r="C65" s="259"/>
      <c r="D65" s="259"/>
      <c r="E65" s="259"/>
      <c r="F65" s="259"/>
      <c r="G65" s="259"/>
      <c r="H65" s="259"/>
      <c r="I65" s="259"/>
      <c r="J65" s="259"/>
      <c r="K65" s="309"/>
      <c r="L65" s="454"/>
      <c r="M65" s="459" t="str">
        <f>M56</f>
        <v>Discount FCF</v>
      </c>
      <c r="N65" s="259">
        <f t="shared" ref="N65:S65" si="24">N63*N64</f>
        <v>8528.9501119586257</v>
      </c>
      <c r="O65" s="259">
        <f t="shared" si="24"/>
        <v>14587.194753596135</v>
      </c>
      <c r="P65" s="259">
        <f t="shared" si="24"/>
        <v>14557.0374171189</v>
      </c>
      <c r="Q65" s="259">
        <f t="shared" si="24"/>
        <v>14335.762171794517</v>
      </c>
      <c r="R65" s="259">
        <f t="shared" si="24"/>
        <v>14127.860735699269</v>
      </c>
      <c r="S65" s="314">
        <f t="shared" si="24"/>
        <v>13415.758569218016</v>
      </c>
    </row>
    <row r="66" spans="2:19">
      <c r="B66" s="259"/>
      <c r="C66" s="259"/>
      <c r="D66" s="259"/>
      <c r="E66" s="259"/>
      <c r="F66" s="259"/>
      <c r="G66" s="259"/>
      <c r="H66" s="259"/>
      <c r="I66" s="259"/>
      <c r="J66" s="259"/>
      <c r="K66" s="309"/>
      <c r="L66" s="454"/>
      <c r="M66" s="306" t="str">
        <f>M57</f>
        <v>NNV</v>
      </c>
      <c r="N66" s="313">
        <f>SUM(N65:R65)</f>
        <v>66136.805190167448</v>
      </c>
      <c r="O66" s="259"/>
      <c r="P66" s="259"/>
      <c r="Q66" s="259"/>
      <c r="R66" s="259"/>
      <c r="S66" s="18"/>
    </row>
    <row r="67" spans="2:19">
      <c r="K67" s="19"/>
      <c r="L67" s="455"/>
      <c r="M67" s="307" t="str">
        <f>M58</f>
        <v>Terminalverdi</v>
      </c>
      <c r="N67" s="268">
        <f>S65/(L62-L63)</f>
        <v>269497.8370548627</v>
      </c>
      <c r="O67" s="20"/>
      <c r="P67" s="20"/>
      <c r="Q67" s="20"/>
      <c r="R67" s="20"/>
      <c r="S67" s="268"/>
    </row>
    <row r="68" spans="2:19">
      <c r="L68" s="454"/>
    </row>
    <row r="69" spans="2:19">
      <c r="L69" s="454"/>
    </row>
    <row r="70" spans="2:19">
      <c r="K70" s="247"/>
      <c r="L70" s="456"/>
      <c r="M70" s="36" t="s">
        <v>108</v>
      </c>
      <c r="N70" s="36"/>
      <c r="O70" s="36"/>
      <c r="P70" s="36"/>
      <c r="Q70" s="36"/>
      <c r="R70" s="36"/>
      <c r="S70" s="301"/>
    </row>
    <row r="71" spans="2:19">
      <c r="K71" s="17" t="s">
        <v>62</v>
      </c>
      <c r="L71" s="454">
        <f>Iterasjon!J5</f>
        <v>6.9780579747233812E-2</v>
      </c>
      <c r="M71" s="459" t="str">
        <f t="shared" ref="M71:S72" si="25">M62</f>
        <v>N</v>
      </c>
      <c r="N71" s="259">
        <f t="shared" si="25"/>
        <v>1</v>
      </c>
      <c r="O71" s="259">
        <f t="shared" si="25"/>
        <v>2</v>
      </c>
      <c r="P71" s="259">
        <f t="shared" si="25"/>
        <v>3</v>
      </c>
      <c r="Q71" s="259">
        <f t="shared" si="25"/>
        <v>4</v>
      </c>
      <c r="R71" s="259">
        <f t="shared" si="25"/>
        <v>5</v>
      </c>
      <c r="S71" s="314">
        <f t="shared" si="25"/>
        <v>6</v>
      </c>
    </row>
    <row r="72" spans="2:19">
      <c r="K72" s="17" t="s">
        <v>65</v>
      </c>
      <c r="L72" s="454">
        <f>0.02</f>
        <v>0.02</v>
      </c>
      <c r="M72" s="459" t="str">
        <f t="shared" si="25"/>
        <v>FCF</v>
      </c>
      <c r="N72" s="259">
        <f t="shared" si="25"/>
        <v>9124.1051954063787</v>
      </c>
      <c r="O72" s="259">
        <f t="shared" si="25"/>
        <v>16694.030422142114</v>
      </c>
      <c r="P72" s="259">
        <f t="shared" si="25"/>
        <v>17822.028232564528</v>
      </c>
      <c r="Q72" s="259">
        <f t="shared" si="25"/>
        <v>18775.8508275247</v>
      </c>
      <c r="R72" s="259">
        <f t="shared" si="25"/>
        <v>19794.746919968649</v>
      </c>
      <c r="S72" s="314">
        <f t="shared" si="25"/>
        <v>20108.676716421644</v>
      </c>
    </row>
    <row r="73" spans="2:19">
      <c r="K73" s="17"/>
      <c r="L73" s="454"/>
      <c r="M73" s="459" t="str">
        <f>M64</f>
        <v>Discount factor</v>
      </c>
      <c r="N73">
        <f t="shared" ref="N73:S73" si="26">1/(1+$L$71)^N71</f>
        <v>0.93477112870779411</v>
      </c>
      <c r="O73">
        <f t="shared" si="26"/>
        <v>0.87379706306564331</v>
      </c>
      <c r="P73">
        <f t="shared" si="26"/>
        <v>0.816800266903427</v>
      </c>
      <c r="Q73">
        <f t="shared" si="26"/>
        <v>0.76352130742214386</v>
      </c>
      <c r="R73">
        <f t="shared" si="26"/>
        <v>0.71371767433144795</v>
      </c>
      <c r="S73" s="18">
        <f t="shared" si="26"/>
        <v>0.66716267601350943</v>
      </c>
    </row>
    <row r="74" spans="2:19">
      <c r="K74" s="17"/>
      <c r="L74" s="454"/>
      <c r="M74" s="459" t="str">
        <f>M65</f>
        <v>Discount FCF</v>
      </c>
      <c r="N74">
        <f t="shared" ref="N74:S74" si="27">N72*N73</f>
        <v>8528.9501119586694</v>
      </c>
      <c r="O74">
        <f t="shared" si="27"/>
        <v>14587.194753596281</v>
      </c>
      <c r="P74">
        <f t="shared" si="27"/>
        <v>14557.037417119118</v>
      </c>
      <c r="Q74">
        <f t="shared" si="27"/>
        <v>14335.7621717948</v>
      </c>
      <c r="R74">
        <f t="shared" si="27"/>
        <v>14127.860735699616</v>
      </c>
      <c r="S74" s="18">
        <f t="shared" si="27"/>
        <v>13415.758569218413</v>
      </c>
    </row>
    <row r="75" spans="2:19">
      <c r="K75" s="17"/>
      <c r="L75" s="454"/>
      <c r="M75" s="306" t="str">
        <f>M66</f>
        <v>NNV</v>
      </c>
      <c r="N75" s="301">
        <f>SUM(N74:R74)</f>
        <v>66136.805190168481</v>
      </c>
      <c r="S75" s="18"/>
    </row>
    <row r="76" spans="2:19">
      <c r="K76" s="19"/>
      <c r="L76" s="455"/>
      <c r="M76" s="307" t="str">
        <f>M67</f>
        <v>Terminalverdi</v>
      </c>
      <c r="N76" s="460">
        <f>S74/(L71-L72)</f>
        <v>269497.83705489885</v>
      </c>
      <c r="O76" s="20"/>
      <c r="P76" s="20"/>
      <c r="Q76" s="20"/>
      <c r="R76" s="20"/>
      <c r="S76" s="268"/>
    </row>
    <row r="77" spans="2:19">
      <c r="L77" s="454"/>
    </row>
    <row r="78" spans="2:19">
      <c r="L78" s="454"/>
    </row>
    <row r="79" spans="2:19">
      <c r="K79" s="247"/>
      <c r="L79" s="456"/>
      <c r="M79" s="36" t="s">
        <v>109</v>
      </c>
      <c r="N79" s="36"/>
      <c r="O79" s="36"/>
      <c r="P79" s="36"/>
      <c r="Q79" s="36"/>
      <c r="R79" s="36"/>
      <c r="S79" s="301"/>
    </row>
    <row r="80" spans="2:19">
      <c r="K80" s="17" t="s">
        <v>62</v>
      </c>
      <c r="L80" s="454">
        <f>Iterasjon!K5</f>
        <v>6.9780579747233909E-2</v>
      </c>
      <c r="M80" s="459" t="str">
        <f t="shared" ref="M80:S81" si="28">M71</f>
        <v>N</v>
      </c>
      <c r="N80" s="259">
        <f t="shared" si="28"/>
        <v>1</v>
      </c>
      <c r="O80" s="259">
        <f t="shared" si="28"/>
        <v>2</v>
      </c>
      <c r="P80" s="259">
        <f t="shared" si="28"/>
        <v>3</v>
      </c>
      <c r="Q80" s="259">
        <f t="shared" si="28"/>
        <v>4</v>
      </c>
      <c r="R80" s="259">
        <f t="shared" si="28"/>
        <v>5</v>
      </c>
      <c r="S80" s="314">
        <f t="shared" si="28"/>
        <v>6</v>
      </c>
    </row>
    <row r="81" spans="11:19">
      <c r="K81" s="17" t="s">
        <v>65</v>
      </c>
      <c r="L81" s="454">
        <f>0.02</f>
        <v>0.02</v>
      </c>
      <c r="M81" s="459" t="str">
        <f t="shared" si="28"/>
        <v>FCF</v>
      </c>
      <c r="N81" s="259">
        <f t="shared" si="28"/>
        <v>9124.1051954063787</v>
      </c>
      <c r="O81" s="259">
        <f t="shared" si="28"/>
        <v>16694.030422142114</v>
      </c>
      <c r="P81" s="259">
        <f t="shared" si="28"/>
        <v>17822.028232564528</v>
      </c>
      <c r="Q81" s="259">
        <f t="shared" si="28"/>
        <v>18775.8508275247</v>
      </c>
      <c r="R81" s="259">
        <f t="shared" si="28"/>
        <v>19794.746919968649</v>
      </c>
      <c r="S81" s="314">
        <f t="shared" si="28"/>
        <v>20108.676716421644</v>
      </c>
    </row>
    <row r="82" spans="11:19">
      <c r="K82" s="17"/>
      <c r="L82" s="454"/>
      <c r="M82" s="459" t="str">
        <f>M73</f>
        <v>Discount factor</v>
      </c>
      <c r="N82">
        <f t="shared" ref="N82:S82" si="29">1/(1+$L$80)^N80</f>
        <v>0.93477112870779389</v>
      </c>
      <c r="O82">
        <f t="shared" si="29"/>
        <v>0.87379706306564298</v>
      </c>
      <c r="P82">
        <f t="shared" si="29"/>
        <v>0.81680026690342655</v>
      </c>
      <c r="Q82">
        <f t="shared" si="29"/>
        <v>0.7635213074221433</v>
      </c>
      <c r="R82">
        <f t="shared" si="29"/>
        <v>0.71371767433144739</v>
      </c>
      <c r="S82" s="18">
        <f t="shared" si="29"/>
        <v>0.66716267601350876</v>
      </c>
    </row>
    <row r="83" spans="11:19">
      <c r="K83" s="17"/>
      <c r="L83" s="454"/>
      <c r="M83" s="459" t="str">
        <f>M74</f>
        <v>Discount FCF</v>
      </c>
      <c r="N83">
        <f t="shared" ref="N83:S83" si="30">N81*N82</f>
        <v>8528.9501119586675</v>
      </c>
      <c r="O83">
        <f t="shared" si="30"/>
        <v>14587.194753596275</v>
      </c>
      <c r="P83">
        <f t="shared" si="30"/>
        <v>14557.037417119109</v>
      </c>
      <c r="Q83">
        <f t="shared" si="30"/>
        <v>14335.762171794791</v>
      </c>
      <c r="R83">
        <f t="shared" si="30"/>
        <v>14127.860735699605</v>
      </c>
      <c r="S83" s="18">
        <f t="shared" si="30"/>
        <v>13415.7585692184</v>
      </c>
    </row>
    <row r="84" spans="11:19">
      <c r="K84" s="17"/>
      <c r="L84" s="454"/>
      <c r="M84" s="306" t="str">
        <f>M75</f>
        <v>NNV</v>
      </c>
      <c r="N84" s="301">
        <f>SUM(N83:R83)</f>
        <v>66136.805190168452</v>
      </c>
      <c r="S84" s="18"/>
    </row>
    <row r="85" spans="11:19">
      <c r="K85" s="19"/>
      <c r="L85" s="455"/>
      <c r="M85" s="307" t="str">
        <f>M76</f>
        <v>Terminalverdi</v>
      </c>
      <c r="N85" s="268">
        <f>S83/(L80-L81)</f>
        <v>269497.83705489803</v>
      </c>
      <c r="O85" s="20"/>
      <c r="P85" s="20"/>
      <c r="Q85" s="20"/>
      <c r="R85" s="20"/>
      <c r="S85" s="268"/>
    </row>
    <row r="86" spans="11:19">
      <c r="L86" s="454"/>
    </row>
    <row r="87" spans="11:19">
      <c r="L87" s="454"/>
    </row>
    <row r="88" spans="11:19">
      <c r="K88" s="247"/>
      <c r="L88" s="456"/>
      <c r="M88" s="36" t="s">
        <v>110</v>
      </c>
      <c r="N88" s="36"/>
      <c r="O88" s="36"/>
      <c r="P88" s="36"/>
      <c r="Q88" s="36"/>
      <c r="R88" s="36"/>
      <c r="S88" s="301"/>
    </row>
    <row r="89" spans="11:19">
      <c r="K89" s="17"/>
      <c r="L89" s="454"/>
      <c r="M89" s="459" t="str">
        <f t="shared" ref="M89:S90" si="31">M80</f>
        <v>N</v>
      </c>
      <c r="N89" s="259">
        <f t="shared" si="31"/>
        <v>1</v>
      </c>
      <c r="O89" s="259">
        <f t="shared" si="31"/>
        <v>2</v>
      </c>
      <c r="P89" s="259">
        <f t="shared" si="31"/>
        <v>3</v>
      </c>
      <c r="Q89" s="259">
        <f t="shared" si="31"/>
        <v>4</v>
      </c>
      <c r="R89" s="259">
        <f t="shared" si="31"/>
        <v>5</v>
      </c>
      <c r="S89" s="314">
        <f t="shared" si="31"/>
        <v>6</v>
      </c>
    </row>
    <row r="90" spans="11:19">
      <c r="K90" s="17" t="s">
        <v>62</v>
      </c>
      <c r="L90" s="454">
        <f>Iterasjon!L5</f>
        <v>6.9780579747233909E-2</v>
      </c>
      <c r="M90" s="459" t="str">
        <f t="shared" si="31"/>
        <v>FCF</v>
      </c>
      <c r="N90" s="259">
        <f t="shared" si="31"/>
        <v>9124.1051954063787</v>
      </c>
      <c r="O90" s="259">
        <f t="shared" si="31"/>
        <v>16694.030422142114</v>
      </c>
      <c r="P90" s="259">
        <f t="shared" si="31"/>
        <v>17822.028232564528</v>
      </c>
      <c r="Q90" s="259">
        <f t="shared" si="31"/>
        <v>18775.8508275247</v>
      </c>
      <c r="R90" s="259">
        <f t="shared" si="31"/>
        <v>19794.746919968649</v>
      </c>
      <c r="S90" s="314">
        <f t="shared" si="31"/>
        <v>20108.676716421644</v>
      </c>
    </row>
    <row r="91" spans="11:19">
      <c r="K91" s="17" t="s">
        <v>65</v>
      </c>
      <c r="L91" s="454">
        <f>0.02</f>
        <v>0.02</v>
      </c>
      <c r="M91" s="459" t="str">
        <f>M82</f>
        <v>Discount factor</v>
      </c>
      <c r="N91">
        <f t="shared" ref="N91:S91" si="32">1/(1+$L$90)^N89</f>
        <v>0.93477112870779389</v>
      </c>
      <c r="O91">
        <f t="shared" si="32"/>
        <v>0.87379706306564298</v>
      </c>
      <c r="P91">
        <f t="shared" si="32"/>
        <v>0.81680026690342655</v>
      </c>
      <c r="Q91">
        <f t="shared" si="32"/>
        <v>0.7635213074221433</v>
      </c>
      <c r="R91">
        <f t="shared" si="32"/>
        <v>0.71371767433144739</v>
      </c>
      <c r="S91" s="18">
        <f t="shared" si="32"/>
        <v>0.66716267601350876</v>
      </c>
    </row>
    <row r="92" spans="11:19">
      <c r="K92" s="17"/>
      <c r="L92" s="454"/>
      <c r="M92" s="459" t="str">
        <f>M83</f>
        <v>Discount FCF</v>
      </c>
      <c r="N92">
        <f t="shared" ref="N92:S92" si="33">N90*N91</f>
        <v>8528.9501119586675</v>
      </c>
      <c r="O92">
        <f t="shared" si="33"/>
        <v>14587.194753596275</v>
      </c>
      <c r="P92">
        <f t="shared" si="33"/>
        <v>14557.037417119109</v>
      </c>
      <c r="Q92">
        <f t="shared" si="33"/>
        <v>14335.762171794791</v>
      </c>
      <c r="R92">
        <f t="shared" si="33"/>
        <v>14127.860735699605</v>
      </c>
      <c r="S92" s="18">
        <f t="shared" si="33"/>
        <v>13415.7585692184</v>
      </c>
    </row>
    <row r="93" spans="11:19">
      <c r="K93" s="17"/>
      <c r="L93" s="454"/>
      <c r="M93" s="306" t="str">
        <f>M84</f>
        <v>NNV</v>
      </c>
      <c r="N93" s="301">
        <f>SUM(N92:R92)</f>
        <v>66136.805190168452</v>
      </c>
      <c r="S93" s="18"/>
    </row>
    <row r="94" spans="11:19">
      <c r="K94" s="19"/>
      <c r="L94" s="455"/>
      <c r="M94" s="307" t="str">
        <f>M85</f>
        <v>Terminalverdi</v>
      </c>
      <c r="N94" s="268">
        <f>S92/(L90-L91)</f>
        <v>269497.83705489803</v>
      </c>
      <c r="O94" s="20"/>
      <c r="P94" s="20"/>
      <c r="Q94" s="20"/>
      <c r="R94" s="20"/>
      <c r="S94" s="268"/>
    </row>
    <row r="95" spans="11:19">
      <c r="L95" s="454"/>
      <c r="M95" s="259"/>
    </row>
    <row r="96" spans="11:19">
      <c r="L96" s="454"/>
    </row>
  </sheetData>
  <mergeCells count="4">
    <mergeCell ref="B36:H36"/>
    <mergeCell ref="B18:H18"/>
    <mergeCell ref="M5:P5"/>
    <mergeCell ref="V17:X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9E68-CF8F-FE43-97C2-60291A09D625}">
  <sheetPr codeName="Ark5"/>
  <dimension ref="B2:F41"/>
  <sheetViews>
    <sheetView zoomScale="75" workbookViewId="0">
      <selection activeCell="E15" sqref="E15"/>
    </sheetView>
  </sheetViews>
  <sheetFormatPr defaultColWidth="11.44140625" defaultRowHeight="14.4"/>
  <cols>
    <col min="2" max="2" width="28.109375" bestFit="1" customWidth="1"/>
    <col min="5" max="5" width="28.33203125" bestFit="1" customWidth="1"/>
  </cols>
  <sheetData>
    <row r="2" spans="2:6">
      <c r="B2" s="571" t="s">
        <v>437</v>
      </c>
      <c r="C2" s="571"/>
      <c r="E2" s="570"/>
      <c r="F2" s="570"/>
    </row>
    <row r="3" spans="2:6">
      <c r="B3" s="232" t="s">
        <v>121</v>
      </c>
      <c r="C3" s="273">
        <v>3.5000000000000003E-2</v>
      </c>
    </row>
    <row r="4" spans="2:6">
      <c r="B4" s="232" t="s">
        <v>136</v>
      </c>
      <c r="C4" s="359">
        <f>Avkastningskrav1!B28</f>
        <v>1.5748304438590088</v>
      </c>
    </row>
    <row r="5" spans="2:6">
      <c r="B5" s="232" t="s">
        <v>191</v>
      </c>
      <c r="C5" s="273">
        <v>5.4699999999999999E-2</v>
      </c>
    </row>
    <row r="6" spans="2:6">
      <c r="B6" s="232" t="s">
        <v>196</v>
      </c>
      <c r="C6" s="273">
        <f>C3+C5</f>
        <v>8.9700000000000002E-2</v>
      </c>
      <c r="F6" s="60"/>
    </row>
    <row r="7" spans="2:6">
      <c r="B7" s="232" t="s">
        <v>197</v>
      </c>
      <c r="C7" s="273">
        <f>C6-C3*(1-0.22)</f>
        <v>6.2399999999999997E-2</v>
      </c>
    </row>
    <row r="8" spans="2:6">
      <c r="B8" s="232" t="s">
        <v>129</v>
      </c>
      <c r="C8" s="273">
        <v>0.22</v>
      </c>
    </row>
    <row r="9" spans="2:6" ht="15" thickBot="1">
      <c r="B9" s="478" t="s">
        <v>436</v>
      </c>
      <c r="C9" s="479">
        <f>C3*(1-C8)+C4*C7</f>
        <v>0.12556941969680213</v>
      </c>
    </row>
    <row r="11" spans="2:6">
      <c r="B11" s="462" t="s">
        <v>73</v>
      </c>
      <c r="C11" s="60">
        <f>(C12*C14)+(C15*C13*0.78)</f>
        <v>6.1877606319032649E-2</v>
      </c>
    </row>
    <row r="12" spans="2:6">
      <c r="B12" s="200" t="s">
        <v>198</v>
      </c>
      <c r="C12" s="60">
        <f>C9</f>
        <v>0.12556941969680213</v>
      </c>
      <c r="E12" s="60"/>
    </row>
    <row r="13" spans="2:6">
      <c r="B13" s="200" t="s">
        <v>212</v>
      </c>
      <c r="C13" s="129">
        <f>Forecast!I58/Forecast!I60</f>
        <v>0.71952362087243127</v>
      </c>
      <c r="E13" s="60"/>
    </row>
    <row r="14" spans="2:6">
      <c r="B14" s="200" t="s">
        <v>210</v>
      </c>
      <c r="C14" s="60">
        <f>Forecast!I48/Forecast!I60</f>
        <v>0.28047637912756873</v>
      </c>
      <c r="E14" s="60"/>
    </row>
    <row r="15" spans="2:6">
      <c r="B15" s="200" t="s">
        <v>199</v>
      </c>
      <c r="C15" s="129">
        <f>Avkastningskrav1!L4</f>
        <v>4.7500000000000001E-2</v>
      </c>
      <c r="E15" s="60"/>
    </row>
    <row r="16" spans="2:6">
      <c r="B16" s="200" t="s">
        <v>129</v>
      </c>
      <c r="C16" s="65">
        <v>0.22</v>
      </c>
    </row>
    <row r="19" spans="2:3">
      <c r="B19" s="571" t="s">
        <v>73</v>
      </c>
      <c r="C19" s="571"/>
    </row>
    <row r="20" spans="2:3">
      <c r="B20" s="482" t="s">
        <v>198</v>
      </c>
      <c r="C20" s="273">
        <f>C9</f>
        <v>0.12556941969680213</v>
      </c>
    </row>
    <row r="21" spans="2:3">
      <c r="B21" s="232" t="s">
        <v>210</v>
      </c>
      <c r="C21" s="273">
        <f>C14</f>
        <v>0.28047637912756873</v>
      </c>
    </row>
    <row r="22" spans="2:3">
      <c r="B22" s="232" t="s">
        <v>199</v>
      </c>
      <c r="C22" s="273">
        <f>C15</f>
        <v>4.7500000000000001E-2</v>
      </c>
    </row>
    <row r="23" spans="2:3">
      <c r="B23" s="232" t="s">
        <v>212</v>
      </c>
      <c r="C23" s="273">
        <f>C13</f>
        <v>0.71952362087243127</v>
      </c>
    </row>
    <row r="24" spans="2:3">
      <c r="B24" s="232" t="s">
        <v>129</v>
      </c>
      <c r="C24" s="483">
        <f>C16</f>
        <v>0.22</v>
      </c>
    </row>
    <row r="25" spans="2:3" ht="15" thickBot="1">
      <c r="B25" s="480" t="s">
        <v>92</v>
      </c>
      <c r="C25" s="481">
        <f>(C20*C21)+(C22*C23*(1-C24))</f>
        <v>6.1877606319032649E-2</v>
      </c>
    </row>
    <row r="31" spans="2:3">
      <c r="C31" s="65"/>
    </row>
    <row r="32" spans="2:3">
      <c r="C32" s="65"/>
    </row>
    <row r="33" spans="3:5">
      <c r="C33" s="60"/>
    </row>
    <row r="34" spans="3:5">
      <c r="C34" s="60"/>
      <c r="E34" s="11"/>
    </row>
    <row r="36" spans="3:5">
      <c r="C36" s="65"/>
    </row>
    <row r="38" spans="3:5">
      <c r="C38" s="65"/>
    </row>
    <row r="39" spans="3:5">
      <c r="C39" s="65"/>
    </row>
    <row r="40" spans="3:5">
      <c r="C40" s="60"/>
    </row>
    <row r="41" spans="3:5">
      <c r="C41" s="65"/>
    </row>
  </sheetData>
  <mergeCells count="3">
    <mergeCell ref="B2:C2"/>
    <mergeCell ref="E2:F2"/>
    <mergeCell ref="B19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2060-A0CD-4454-AB00-802834CF93C9}">
  <sheetPr codeName="Ark8"/>
  <dimension ref="B4:BW139"/>
  <sheetViews>
    <sheetView topLeftCell="AY1" zoomScale="60" workbookViewId="0">
      <selection activeCell="BZ5" sqref="BZ5"/>
    </sheetView>
  </sheetViews>
  <sheetFormatPr defaultColWidth="11.44140625" defaultRowHeight="14.4"/>
  <cols>
    <col min="2" max="2" width="19" bestFit="1" customWidth="1"/>
    <col min="7" max="7" width="22" bestFit="1" customWidth="1"/>
    <col min="8" max="8" width="7.44140625" bestFit="1" customWidth="1"/>
    <col min="16" max="16" width="16" bestFit="1" customWidth="1"/>
    <col min="21" max="21" width="34.109375" bestFit="1" customWidth="1"/>
    <col min="22" max="22" width="9.77734375" customWidth="1"/>
    <col min="23" max="23" width="10.44140625" customWidth="1"/>
    <col min="24" max="24" width="12" bestFit="1" customWidth="1"/>
    <col min="25" max="25" width="12.44140625" customWidth="1"/>
    <col min="26" max="26" width="9.6640625" bestFit="1" customWidth="1"/>
    <col min="27" max="27" width="11" customWidth="1"/>
    <col min="28" max="28" width="16.6640625" bestFit="1" customWidth="1"/>
    <col min="29" max="29" width="12.77734375" bestFit="1" customWidth="1"/>
    <col min="30" max="31" width="17" bestFit="1" customWidth="1"/>
    <col min="36" max="36" width="11.77734375" bestFit="1" customWidth="1"/>
    <col min="38" max="38" width="11.6640625" bestFit="1" customWidth="1"/>
    <col min="39" max="39" width="25.44140625" bestFit="1" customWidth="1"/>
    <col min="48" max="48" width="26.77734375" bestFit="1" customWidth="1"/>
    <col min="58" max="58" width="41" bestFit="1" customWidth="1"/>
    <col min="63" max="63" width="12.109375" bestFit="1" customWidth="1"/>
    <col min="65" max="65" width="18.6640625" bestFit="1" customWidth="1"/>
    <col min="68" max="68" width="26.77734375" bestFit="1" customWidth="1"/>
  </cols>
  <sheetData>
    <row r="4" spans="2:75" ht="18">
      <c r="B4" s="124"/>
      <c r="C4" s="4"/>
      <c r="D4" s="4"/>
      <c r="E4" s="4"/>
      <c r="F4" s="4"/>
      <c r="G4" s="4"/>
      <c r="I4" s="573" t="s">
        <v>332</v>
      </c>
      <c r="J4" s="573"/>
      <c r="K4" s="573"/>
      <c r="W4" s="573" t="s">
        <v>333</v>
      </c>
      <c r="X4" s="573"/>
      <c r="Y4" s="573"/>
      <c r="AG4" s="573" t="s">
        <v>334</v>
      </c>
      <c r="AH4" s="573"/>
      <c r="AM4" s="573" t="s">
        <v>335</v>
      </c>
      <c r="AN4" s="573"/>
      <c r="AO4" s="573"/>
      <c r="AP4" s="573"/>
      <c r="AQ4" s="573"/>
      <c r="AR4" s="573"/>
      <c r="BF4" s="11" t="s">
        <v>36</v>
      </c>
      <c r="BG4">
        <v>2016</v>
      </c>
      <c r="BH4">
        <v>2017</v>
      </c>
      <c r="BI4">
        <v>2018</v>
      </c>
      <c r="BJ4">
        <v>2019</v>
      </c>
      <c r="BK4">
        <v>2020</v>
      </c>
      <c r="BL4">
        <v>2021</v>
      </c>
      <c r="BM4" t="s">
        <v>220</v>
      </c>
      <c r="BN4">
        <f t="shared" ref="BN4:BS4" si="0">AN6</f>
        <v>14834</v>
      </c>
      <c r="BO4">
        <f t="shared" si="0"/>
        <v>25864</v>
      </c>
      <c r="BP4">
        <f t="shared" si="0"/>
        <v>27593</v>
      </c>
      <c r="BQ4">
        <f t="shared" si="0"/>
        <v>38257</v>
      </c>
      <c r="BR4">
        <f t="shared" si="0"/>
        <v>51247</v>
      </c>
      <c r="BS4">
        <f t="shared" si="0"/>
        <v>56240</v>
      </c>
    </row>
    <row r="5" spans="2:75" ht="15.6">
      <c r="B5" s="124"/>
      <c r="D5" s="1"/>
      <c r="E5" s="1"/>
      <c r="F5" s="1"/>
      <c r="G5" s="1" t="s">
        <v>298</v>
      </c>
      <c r="H5">
        <v>2021</v>
      </c>
      <c r="I5">
        <v>2020</v>
      </c>
      <c r="J5">
        <v>2019</v>
      </c>
      <c r="K5">
        <v>2018</v>
      </c>
      <c r="L5">
        <v>2017</v>
      </c>
      <c r="M5">
        <v>2016</v>
      </c>
      <c r="N5" s="3"/>
      <c r="O5" s="3">
        <v>2016</v>
      </c>
      <c r="P5" s="3">
        <v>2017</v>
      </c>
      <c r="Q5" s="3">
        <v>2018</v>
      </c>
      <c r="R5" s="3">
        <v>2019</v>
      </c>
      <c r="S5" s="3">
        <v>2020</v>
      </c>
      <c r="T5" s="3">
        <v>2021</v>
      </c>
      <c r="V5">
        <v>2016</v>
      </c>
      <c r="W5">
        <v>2017</v>
      </c>
      <c r="X5" s="27">
        <v>2018</v>
      </c>
      <c r="Y5">
        <v>2019</v>
      </c>
      <c r="Z5">
        <v>2020</v>
      </c>
      <c r="AA5">
        <v>2021</v>
      </c>
      <c r="AE5" t="s">
        <v>298</v>
      </c>
      <c r="AF5">
        <v>2016</v>
      </c>
      <c r="AG5">
        <v>2017</v>
      </c>
      <c r="AH5">
        <v>2018</v>
      </c>
      <c r="AI5">
        <v>2019</v>
      </c>
      <c r="AJ5">
        <v>2020</v>
      </c>
      <c r="AK5">
        <v>2021</v>
      </c>
      <c r="AN5">
        <v>2016</v>
      </c>
      <c r="AO5">
        <v>2017</v>
      </c>
      <c r="AP5">
        <v>2018</v>
      </c>
      <c r="AQ5">
        <v>2019</v>
      </c>
      <c r="AR5">
        <v>2020</v>
      </c>
      <c r="AS5">
        <v>2021</v>
      </c>
      <c r="AU5" s="3"/>
      <c r="AV5" s="3">
        <v>2016</v>
      </c>
      <c r="AW5" s="3">
        <v>2017</v>
      </c>
      <c r="AX5" s="3">
        <v>2018</v>
      </c>
      <c r="AY5" s="3">
        <v>2019</v>
      </c>
      <c r="AZ5" s="3">
        <v>2020</v>
      </c>
      <c r="BA5" s="3">
        <v>2021</v>
      </c>
      <c r="BF5" t="s">
        <v>37</v>
      </c>
      <c r="BG5">
        <f>1275</f>
        <v>1275</v>
      </c>
      <c r="BH5">
        <f>1731</f>
        <v>1731</v>
      </c>
      <c r="BI5">
        <f>1830</f>
        <v>1830</v>
      </c>
      <c r="BJ5">
        <f>1436</f>
        <v>1436</v>
      </c>
      <c r="BK5">
        <f>2807</f>
        <v>2807</v>
      </c>
      <c r="BL5">
        <v>4565</v>
      </c>
      <c r="BM5" t="s">
        <v>337</v>
      </c>
      <c r="BN5">
        <f>BN4*0.02</f>
        <v>296.68</v>
      </c>
      <c r="BO5">
        <f t="shared" ref="BO5:BS5" si="1">BO4*0.02</f>
        <v>517.28</v>
      </c>
      <c r="BP5">
        <f t="shared" si="1"/>
        <v>551.86</v>
      </c>
      <c r="BQ5">
        <f t="shared" si="1"/>
        <v>765.14</v>
      </c>
      <c r="BR5">
        <f t="shared" si="1"/>
        <v>1024.94</v>
      </c>
      <c r="BS5">
        <f t="shared" si="1"/>
        <v>1124.8</v>
      </c>
    </row>
    <row r="6" spans="2:75" ht="16.05" customHeight="1">
      <c r="B6" s="124"/>
      <c r="D6" s="1"/>
      <c r="E6" s="1"/>
      <c r="F6" s="1"/>
      <c r="G6" s="75" t="s">
        <v>338</v>
      </c>
      <c r="H6" s="3"/>
      <c r="I6" s="3"/>
      <c r="J6" s="3"/>
      <c r="K6" s="3"/>
      <c r="L6" s="3"/>
      <c r="M6" s="94"/>
      <c r="N6" s="3" t="s">
        <v>219</v>
      </c>
      <c r="O6" s="3">
        <f t="shared" ref="O6:T6" si="2">V16</f>
        <v>2933</v>
      </c>
      <c r="P6" s="3">
        <f t="shared" si="2"/>
        <v>1298</v>
      </c>
      <c r="Q6" s="3">
        <f t="shared" si="2"/>
        <v>646</v>
      </c>
      <c r="R6" s="3">
        <f t="shared" si="2"/>
        <v>5653</v>
      </c>
      <c r="S6" s="3">
        <f t="shared" si="2"/>
        <v>8159</v>
      </c>
      <c r="T6" s="3">
        <f t="shared" si="2"/>
        <v>9871</v>
      </c>
      <c r="U6" t="s">
        <v>220</v>
      </c>
      <c r="V6">
        <v>18480</v>
      </c>
      <c r="W6">
        <v>21373</v>
      </c>
      <c r="X6">
        <v>23643</v>
      </c>
      <c r="Y6">
        <v>45629</v>
      </c>
      <c r="Z6">
        <v>50582</v>
      </c>
      <c r="AA6">
        <f>69446</f>
        <v>69446</v>
      </c>
      <c r="AE6" t="s">
        <v>37</v>
      </c>
      <c r="AF6">
        <v>1519</v>
      </c>
      <c r="AG6">
        <v>1419</v>
      </c>
      <c r="AH6">
        <v>2030</v>
      </c>
      <c r="AI6">
        <v>4067</v>
      </c>
      <c r="AJ6">
        <v>8287</v>
      </c>
      <c r="AK6">
        <v>9380</v>
      </c>
      <c r="AM6" t="s">
        <v>220</v>
      </c>
      <c r="AN6">
        <f>14834</f>
        <v>14834</v>
      </c>
      <c r="AO6">
        <v>25864</v>
      </c>
      <c r="AP6">
        <v>27593</v>
      </c>
      <c r="AQ6">
        <v>38257</v>
      </c>
      <c r="AR6">
        <v>51247</v>
      </c>
      <c r="AS6">
        <v>56240</v>
      </c>
      <c r="AU6" s="3" t="s">
        <v>219</v>
      </c>
      <c r="AV6" s="3">
        <f t="shared" ref="AV6:BA6" si="3">AN14</f>
        <v>1700</v>
      </c>
      <c r="AW6" s="3">
        <f t="shared" si="3"/>
        <v>3575</v>
      </c>
      <c r="AX6" s="3">
        <f t="shared" si="3"/>
        <v>1321</v>
      </c>
      <c r="AY6" s="3">
        <f t="shared" si="3"/>
        <v>5876</v>
      </c>
      <c r="AZ6" s="3">
        <f t="shared" si="3"/>
        <v>10977</v>
      </c>
      <c r="BA6" s="3">
        <f t="shared" si="3"/>
        <v>1597</v>
      </c>
      <c r="BF6" t="s">
        <v>38</v>
      </c>
      <c r="BG6">
        <f>147</f>
        <v>147</v>
      </c>
      <c r="BH6">
        <v>1919</v>
      </c>
      <c r="BI6">
        <v>154</v>
      </c>
      <c r="BJ6">
        <v>1660</v>
      </c>
      <c r="BK6">
        <v>1280</v>
      </c>
      <c r="BL6">
        <v>202</v>
      </c>
    </row>
    <row r="7" spans="2:75" ht="15.6">
      <c r="B7" s="124"/>
      <c r="D7" s="1"/>
      <c r="E7" s="1"/>
      <c r="F7" s="1"/>
      <c r="G7" s="59" t="s">
        <v>339</v>
      </c>
      <c r="H7" s="78">
        <v>0.69</v>
      </c>
      <c r="I7" s="78">
        <v>0.64</v>
      </c>
      <c r="J7" s="78">
        <v>0.92</v>
      </c>
      <c r="K7" s="78">
        <v>1.34</v>
      </c>
      <c r="L7" s="78">
        <v>1.49</v>
      </c>
      <c r="M7" s="94">
        <v>1.67</v>
      </c>
      <c r="N7" s="3" t="s">
        <v>340</v>
      </c>
      <c r="O7" s="3">
        <f>633</f>
        <v>633</v>
      </c>
      <c r="P7" s="3">
        <f>235</f>
        <v>235</v>
      </c>
      <c r="Q7" s="3">
        <f>13</f>
        <v>13</v>
      </c>
      <c r="R7" s="3">
        <f>925</f>
        <v>925</v>
      </c>
      <c r="S7" s="3">
        <f>1661</f>
        <v>1661</v>
      </c>
      <c r="T7" s="3">
        <f>2077</f>
        <v>2077</v>
      </c>
      <c r="U7" t="s">
        <v>341</v>
      </c>
      <c r="W7" s="129">
        <f>(W6-V6)/V6</f>
        <v>0.15654761904761905</v>
      </c>
      <c r="X7" s="129">
        <f t="shared" ref="X7:AA7" si="4">(X6-W6)/W6</f>
        <v>0.10620876807186637</v>
      </c>
      <c r="Y7" s="129">
        <f t="shared" si="4"/>
        <v>0.92991583132428202</v>
      </c>
      <c r="Z7" s="129">
        <f t="shared" si="4"/>
        <v>0.10854938745096321</v>
      </c>
      <c r="AA7" s="129">
        <f t="shared" si="4"/>
        <v>0.37293899015460047</v>
      </c>
      <c r="AE7" t="s">
        <v>304</v>
      </c>
      <c r="AF7">
        <v>365</v>
      </c>
      <c r="AG7">
        <v>365</v>
      </c>
      <c r="AH7">
        <v>365</v>
      </c>
      <c r="AI7">
        <v>365</v>
      </c>
      <c r="AJ7">
        <v>365</v>
      </c>
      <c r="AK7">
        <v>365</v>
      </c>
      <c r="AM7" t="s">
        <v>223</v>
      </c>
      <c r="AN7">
        <f>426</f>
        <v>426</v>
      </c>
      <c r="AO7">
        <v>693</v>
      </c>
      <c r="AP7">
        <v>829</v>
      </c>
      <c r="AQ7">
        <v>1009</v>
      </c>
      <c r="AR7">
        <v>1202</v>
      </c>
      <c r="AS7">
        <v>1842</v>
      </c>
      <c r="AU7" s="3" t="s">
        <v>221</v>
      </c>
      <c r="AV7" s="3">
        <f>141</f>
        <v>141</v>
      </c>
      <c r="AW7" s="3">
        <f>398</f>
        <v>398</v>
      </c>
      <c r="AX7" s="3">
        <f>-AP15</f>
        <v>-93</v>
      </c>
      <c r="AY7" s="3">
        <f>635</f>
        <v>635</v>
      </c>
      <c r="AZ7" s="3">
        <f>AR15</f>
        <v>-1909</v>
      </c>
      <c r="BA7" s="3">
        <f>-AS15</f>
        <v>-85</v>
      </c>
      <c r="BF7" t="s">
        <v>39</v>
      </c>
      <c r="BG7">
        <f t="shared" ref="BG7:BL7" si="5">BN5</f>
        <v>296.68</v>
      </c>
      <c r="BH7">
        <f t="shared" si="5"/>
        <v>517.28</v>
      </c>
      <c r="BI7">
        <f t="shared" si="5"/>
        <v>551.86</v>
      </c>
      <c r="BJ7">
        <f t="shared" si="5"/>
        <v>765.14</v>
      </c>
      <c r="BK7">
        <f t="shared" si="5"/>
        <v>1024.94</v>
      </c>
      <c r="BL7">
        <f t="shared" si="5"/>
        <v>1124.8</v>
      </c>
    </row>
    <row r="8" spans="2:75" ht="16.05" customHeight="1" thickBot="1">
      <c r="B8" s="124"/>
      <c r="D8" s="1"/>
      <c r="G8" s="59" t="s">
        <v>311</v>
      </c>
      <c r="H8" s="78">
        <v>0.4</v>
      </c>
      <c r="I8" s="78">
        <v>0.27</v>
      </c>
      <c r="J8" s="78">
        <v>0.55000000000000004</v>
      </c>
      <c r="K8" s="78">
        <v>0.93</v>
      </c>
      <c r="L8" s="78">
        <v>1.0900000000000001</v>
      </c>
      <c r="M8" s="94">
        <v>1.1499999999999999</v>
      </c>
      <c r="N8" s="3" t="s">
        <v>222</v>
      </c>
      <c r="O8" s="10">
        <f t="shared" ref="O8:T8" si="6">O7/O6</f>
        <v>0.2158199795431299</v>
      </c>
      <c r="P8" s="10">
        <f t="shared" si="6"/>
        <v>0.18104776579352849</v>
      </c>
      <c r="Q8" s="10">
        <f t="shared" si="6"/>
        <v>2.0123839009287926E-2</v>
      </c>
      <c r="R8" s="10">
        <f t="shared" si="6"/>
        <v>0.16362993101008314</v>
      </c>
      <c r="S8" s="10">
        <f t="shared" si="6"/>
        <v>0.20357886995955388</v>
      </c>
      <c r="T8" s="10">
        <f t="shared" si="6"/>
        <v>0.21041434505115997</v>
      </c>
      <c r="U8" t="s">
        <v>342</v>
      </c>
      <c r="V8">
        <f>491</f>
        <v>491</v>
      </c>
      <c r="W8">
        <f>1012</f>
        <v>1012</v>
      </c>
      <c r="X8">
        <f>606</f>
        <v>606</v>
      </c>
      <c r="Y8">
        <f>887</f>
        <v>887</v>
      </c>
      <c r="Z8">
        <f>863</f>
        <v>863</v>
      </c>
      <c r="AA8">
        <f>1199</f>
        <v>1199</v>
      </c>
      <c r="AE8" t="s">
        <v>50</v>
      </c>
      <c r="AF8">
        <v>6619</v>
      </c>
      <c r="AG8">
        <v>8504</v>
      </c>
      <c r="AH8">
        <v>9245</v>
      </c>
      <c r="AI8">
        <v>19852</v>
      </c>
      <c r="AJ8">
        <v>16273</v>
      </c>
      <c r="AK8">
        <v>27192</v>
      </c>
      <c r="AM8" t="s">
        <v>50</v>
      </c>
      <c r="AN8">
        <f>3614</f>
        <v>3614</v>
      </c>
      <c r="AO8">
        <v>4678</v>
      </c>
      <c r="AP8">
        <v>5080</v>
      </c>
      <c r="AQ8">
        <v>7140</v>
      </c>
      <c r="AR8">
        <v>7521</v>
      </c>
      <c r="AS8">
        <v>10456</v>
      </c>
      <c r="AU8" s="3" t="s">
        <v>222</v>
      </c>
      <c r="AV8" s="10">
        <f>AV7/AV6</f>
        <v>8.294117647058824E-2</v>
      </c>
      <c r="AW8" s="61">
        <f>AW7/AW6</f>
        <v>0.11132867132867133</v>
      </c>
      <c r="AX8" s="61">
        <f t="shared" ref="AX8:BA8" si="7">AX7/AX6</f>
        <v>-7.0401211203633615E-2</v>
      </c>
      <c r="AY8" s="61">
        <f t="shared" si="7"/>
        <v>0.10806671204901293</v>
      </c>
      <c r="AZ8" s="61">
        <f t="shared" si="7"/>
        <v>-0.17390908262731164</v>
      </c>
      <c r="BA8" s="61">
        <f t="shared" si="7"/>
        <v>-5.3224796493425174E-2</v>
      </c>
      <c r="BF8" s="5" t="s">
        <v>40</v>
      </c>
      <c r="BG8" s="5">
        <f>SUM(BG5:BG7)</f>
        <v>1718.68</v>
      </c>
      <c r="BH8" s="5">
        <f t="shared" ref="BH8:BL8" si="8">SUM(BH5:BH7)</f>
        <v>4167.28</v>
      </c>
      <c r="BI8" s="5">
        <f t="shared" si="8"/>
        <v>2535.86</v>
      </c>
      <c r="BJ8" s="5">
        <f t="shared" si="8"/>
        <v>3861.14</v>
      </c>
      <c r="BK8" s="5">
        <f t="shared" si="8"/>
        <v>5111.9400000000005</v>
      </c>
      <c r="BL8" s="5">
        <f t="shared" si="8"/>
        <v>5891.8</v>
      </c>
    </row>
    <row r="9" spans="2:75" ht="16.05" customHeight="1" thickBot="1">
      <c r="B9" s="124"/>
      <c r="H9" s="1"/>
      <c r="I9" s="1"/>
      <c r="J9" s="1"/>
      <c r="K9" s="1"/>
      <c r="L9" s="1"/>
      <c r="M9" s="1"/>
      <c r="U9" t="s">
        <v>50</v>
      </c>
      <c r="V9">
        <f>6619</f>
        <v>6619</v>
      </c>
      <c r="W9">
        <v>8504</v>
      </c>
      <c r="X9">
        <v>9245</v>
      </c>
      <c r="Y9">
        <v>19852</v>
      </c>
      <c r="Z9">
        <v>16273</v>
      </c>
      <c r="AA9">
        <f>27192</f>
        <v>27192</v>
      </c>
      <c r="AE9" s="5" t="s">
        <v>306</v>
      </c>
      <c r="AF9" s="83">
        <f>(AF6*AF7)/AF8</f>
        <v>83.764163770962384</v>
      </c>
      <c r="AG9" s="83">
        <f t="shared" ref="AG9:AK9" si="9">(AG6*AG7)/AG8</f>
        <v>60.904868297271875</v>
      </c>
      <c r="AH9" s="83">
        <f>(AH6*AH7)/AH8</f>
        <v>80.146024878312602</v>
      </c>
      <c r="AI9" s="83">
        <f t="shared" si="9"/>
        <v>74.77609308885755</v>
      </c>
      <c r="AJ9" s="83">
        <f t="shared" si="9"/>
        <v>185.8756836477601</v>
      </c>
      <c r="AK9" s="83">
        <f t="shared" si="9"/>
        <v>125.90835539864666</v>
      </c>
      <c r="AM9" s="5" t="s">
        <v>224</v>
      </c>
      <c r="AN9" s="5">
        <f>AN6+AN7-AN8</f>
        <v>11646</v>
      </c>
      <c r="AO9" s="5">
        <f>AO6+AO7-AO8</f>
        <v>21879</v>
      </c>
      <c r="AP9" s="5">
        <f t="shared" ref="AP9:AS9" si="10">AP6+AP7-AP8</f>
        <v>23342</v>
      </c>
      <c r="AQ9" s="5">
        <f t="shared" si="10"/>
        <v>32126</v>
      </c>
      <c r="AR9" s="5">
        <f t="shared" si="10"/>
        <v>44928</v>
      </c>
      <c r="AS9" s="5">
        <f t="shared" si="10"/>
        <v>47626</v>
      </c>
      <c r="AW9" s="65"/>
      <c r="AX9" s="65"/>
      <c r="AY9" s="65"/>
      <c r="AZ9" s="65"/>
      <c r="BA9" s="65"/>
      <c r="BF9" t="s">
        <v>292</v>
      </c>
      <c r="BG9">
        <f>3982</f>
        <v>3982</v>
      </c>
      <c r="BH9">
        <v>2098</v>
      </c>
      <c r="BI9">
        <v>8162</v>
      </c>
      <c r="BJ9">
        <v>5281</v>
      </c>
      <c r="BK9">
        <v>4259</v>
      </c>
      <c r="BL9">
        <v>6748</v>
      </c>
    </row>
    <row r="10" spans="2:75" ht="15" thickBot="1">
      <c r="G10" s="79" t="s">
        <v>343</v>
      </c>
      <c r="H10" s="59"/>
      <c r="I10" s="59"/>
      <c r="J10" s="59"/>
      <c r="K10" s="59"/>
      <c r="L10" s="59"/>
      <c r="M10" s="59"/>
      <c r="U10" s="5" t="s">
        <v>224</v>
      </c>
      <c r="V10" s="5">
        <f t="shared" ref="V10:AA10" si="11">V6+V8-V9</f>
        <v>12352</v>
      </c>
      <c r="W10" s="5">
        <f t="shared" si="11"/>
        <v>13881</v>
      </c>
      <c r="X10" s="5">
        <f t="shared" si="11"/>
        <v>15004</v>
      </c>
      <c r="Y10" s="5">
        <f t="shared" si="11"/>
        <v>26664</v>
      </c>
      <c r="Z10" s="5">
        <f t="shared" si="11"/>
        <v>35172</v>
      </c>
      <c r="AA10" s="5">
        <f t="shared" si="11"/>
        <v>43453</v>
      </c>
      <c r="AM10" t="s">
        <v>226</v>
      </c>
      <c r="AN10">
        <f>4553</f>
        <v>4553</v>
      </c>
      <c r="AO10">
        <f>7496</f>
        <v>7496</v>
      </c>
      <c r="AP10">
        <f>8507</f>
        <v>8507</v>
      </c>
      <c r="AQ10">
        <f>11849</f>
        <v>11849</v>
      </c>
      <c r="AR10">
        <f>16061</f>
        <v>16061</v>
      </c>
      <c r="AS10">
        <f>17195</f>
        <v>17195</v>
      </c>
      <c r="BF10" t="s">
        <v>41</v>
      </c>
      <c r="BG10">
        <f>186</f>
        <v>186</v>
      </c>
      <c r="BH10">
        <f>255</f>
        <v>255</v>
      </c>
      <c r="BI10">
        <f>341</f>
        <v>341</v>
      </c>
      <c r="BJ10">
        <f>558</f>
        <v>558</v>
      </c>
      <c r="BK10">
        <f>688</f>
        <v>688</v>
      </c>
      <c r="BL10">
        <f>686</f>
        <v>686</v>
      </c>
    </row>
    <row r="11" spans="2:75">
      <c r="G11" s="59" t="s">
        <v>339</v>
      </c>
      <c r="H11" s="78">
        <v>1.51</v>
      </c>
      <c r="I11" s="78">
        <v>1.92</v>
      </c>
      <c r="J11" s="78">
        <v>1.49</v>
      </c>
      <c r="K11" s="78">
        <v>0.75</v>
      </c>
      <c r="L11" s="78">
        <v>2.48</v>
      </c>
      <c r="M11" s="78">
        <v>1.36</v>
      </c>
      <c r="U11" t="s">
        <v>226</v>
      </c>
      <c r="V11">
        <f>4556</f>
        <v>4556</v>
      </c>
      <c r="W11">
        <f>5818</f>
        <v>5818</v>
      </c>
      <c r="X11">
        <f>6719</f>
        <v>6719</v>
      </c>
      <c r="Y11">
        <f>11340</f>
        <v>11340</v>
      </c>
      <c r="Z11">
        <f>13087</f>
        <v>13087</v>
      </c>
      <c r="AA11">
        <f>16697</f>
        <v>16697</v>
      </c>
      <c r="AE11" t="s">
        <v>307</v>
      </c>
      <c r="AF11">
        <v>804</v>
      </c>
      <c r="AG11">
        <v>1466</v>
      </c>
      <c r="AH11">
        <v>1448</v>
      </c>
      <c r="AI11">
        <v>1809</v>
      </c>
      <c r="AJ11">
        <v>1690</v>
      </c>
      <c r="AK11">
        <v>458</v>
      </c>
      <c r="AM11" t="s">
        <v>227</v>
      </c>
      <c r="AN11">
        <v>5307</v>
      </c>
      <c r="AO11">
        <v>9319</v>
      </c>
      <c r="AP11">
        <v>11880</v>
      </c>
      <c r="AQ11">
        <v>11382</v>
      </c>
      <c r="AR11">
        <f>14453</f>
        <v>14453</v>
      </c>
      <c r="AS11">
        <f>25239</f>
        <v>25239</v>
      </c>
      <c r="BF11" t="s">
        <v>42</v>
      </c>
      <c r="BG11">
        <f>134</f>
        <v>134</v>
      </c>
      <c r="BH11">
        <f>145</f>
        <v>145</v>
      </c>
      <c r="BI11">
        <v>0</v>
      </c>
      <c r="BJ11">
        <v>0</v>
      </c>
      <c r="BK11">
        <v>1703</v>
      </c>
      <c r="BL11">
        <v>0</v>
      </c>
    </row>
    <row r="12" spans="2:75" ht="15" thickBot="1">
      <c r="G12" s="59" t="s">
        <v>311</v>
      </c>
      <c r="H12" s="78">
        <v>1.03</v>
      </c>
      <c r="I12" s="78">
        <v>1.59</v>
      </c>
      <c r="J12" s="78">
        <v>1.31</v>
      </c>
      <c r="K12" s="78">
        <v>0.56000000000000005</v>
      </c>
      <c r="L12" s="78">
        <v>2.0499999999999998</v>
      </c>
      <c r="M12" s="78">
        <v>1.1000000000000001</v>
      </c>
      <c r="U12" t="s">
        <v>227</v>
      </c>
      <c r="V12">
        <f>3337</f>
        <v>3337</v>
      </c>
      <c r="W12">
        <f>4171</f>
        <v>4171</v>
      </c>
      <c r="X12">
        <f>4890</f>
        <v>4890</v>
      </c>
      <c r="Y12">
        <f>7146</f>
        <v>7146</v>
      </c>
      <c r="Z12">
        <f>10938</f>
        <v>10938</v>
      </c>
      <c r="AA12">
        <f>12929</f>
        <v>12929</v>
      </c>
      <c r="AE12" t="s">
        <v>304</v>
      </c>
      <c r="AF12">
        <v>365</v>
      </c>
      <c r="AG12">
        <v>365</v>
      </c>
      <c r="AH12">
        <v>365</v>
      </c>
      <c r="AI12">
        <v>365</v>
      </c>
      <c r="AJ12">
        <v>365</v>
      </c>
      <c r="AK12">
        <v>365</v>
      </c>
      <c r="AM12" s="5" t="s">
        <v>162</v>
      </c>
      <c r="AN12" s="5">
        <f>AN9-AN10-AN11</f>
        <v>1786</v>
      </c>
      <c r="AO12" s="5">
        <f>AO9-AO10-AO11</f>
        <v>5064</v>
      </c>
      <c r="AP12" s="5">
        <f t="shared" ref="AP12:AS12" si="12">AP9-AP10-AP11</f>
        <v>2955</v>
      </c>
      <c r="AQ12" s="5">
        <f t="shared" si="12"/>
        <v>8895</v>
      </c>
      <c r="AR12" s="5">
        <f t="shared" si="12"/>
        <v>14414</v>
      </c>
      <c r="AS12" s="5">
        <f t="shared" si="12"/>
        <v>5192</v>
      </c>
      <c r="BF12" t="s">
        <v>43</v>
      </c>
      <c r="BG12">
        <f>493</f>
        <v>493</v>
      </c>
      <c r="BH12">
        <f>1483</f>
        <v>1483</v>
      </c>
      <c r="BI12">
        <f>1294</f>
        <v>1294</v>
      </c>
      <c r="BJ12">
        <f>1922</f>
        <v>1922</v>
      </c>
      <c r="BK12">
        <f>2061</f>
        <v>2061</v>
      </c>
      <c r="BL12">
        <f>2075</f>
        <v>2075</v>
      </c>
      <c r="BP12" t="s">
        <v>344</v>
      </c>
      <c r="BQ12">
        <v>2016</v>
      </c>
      <c r="BR12">
        <v>2017</v>
      </c>
      <c r="BS12">
        <v>2018</v>
      </c>
      <c r="BT12">
        <v>2019</v>
      </c>
      <c r="BU12">
        <v>2020</v>
      </c>
      <c r="BV12">
        <v>2021</v>
      </c>
      <c r="BW12">
        <v>2022</v>
      </c>
    </row>
    <row r="13" spans="2:75" ht="15" thickBot="1">
      <c r="H13" s="1"/>
      <c r="I13" s="1"/>
      <c r="J13" s="1"/>
      <c r="K13" s="1"/>
      <c r="L13" s="1"/>
      <c r="M13" s="1"/>
      <c r="U13" s="5" t="s">
        <v>162</v>
      </c>
      <c r="V13" s="5">
        <f t="shared" ref="V13:AA13" si="13">V10-V11-V12</f>
        <v>4459</v>
      </c>
      <c r="W13" s="5">
        <f t="shared" si="13"/>
        <v>3892</v>
      </c>
      <c r="X13" s="5">
        <f t="shared" si="13"/>
        <v>3395</v>
      </c>
      <c r="Y13" s="5">
        <f t="shared" si="13"/>
        <v>8178</v>
      </c>
      <c r="Z13" s="5">
        <f t="shared" si="13"/>
        <v>11147</v>
      </c>
      <c r="AA13" s="5">
        <f t="shared" si="13"/>
        <v>13827</v>
      </c>
      <c r="AE13" t="s">
        <v>310</v>
      </c>
      <c r="AF13">
        <v>18971</v>
      </c>
      <c r="AG13">
        <v>22385</v>
      </c>
      <c r="AH13">
        <v>24249</v>
      </c>
      <c r="AI13">
        <v>46516</v>
      </c>
      <c r="AJ13">
        <v>51455</v>
      </c>
      <c r="AK13">
        <v>70645</v>
      </c>
      <c r="AM13" t="s">
        <v>229</v>
      </c>
      <c r="AN13">
        <f>86</f>
        <v>86</v>
      </c>
      <c r="AO13">
        <f>1489</f>
        <v>1489</v>
      </c>
      <c r="AP13">
        <f>1634</f>
        <v>1634</v>
      </c>
      <c r="AQ13">
        <f>3019</f>
        <v>3019</v>
      </c>
      <c r="AR13">
        <f>3437</f>
        <v>3437</v>
      </c>
      <c r="AS13">
        <f>3595</f>
        <v>3595</v>
      </c>
      <c r="BF13" s="5" t="s">
        <v>44</v>
      </c>
      <c r="BG13" s="5">
        <f>SUM(BG9:BG12)</f>
        <v>4795</v>
      </c>
      <c r="BH13" s="5">
        <f>BH9+BH10+BH11+BH12</f>
        <v>3981</v>
      </c>
      <c r="BI13" s="5">
        <f t="shared" ref="BI13:BL13" si="14">BI9+BI10+BI11+BI12</f>
        <v>9797</v>
      </c>
      <c r="BJ13" s="5">
        <f t="shared" si="14"/>
        <v>7761</v>
      </c>
      <c r="BK13" s="5">
        <f t="shared" si="14"/>
        <v>8711</v>
      </c>
      <c r="BL13" s="5">
        <f t="shared" si="14"/>
        <v>9509</v>
      </c>
      <c r="BP13" t="s">
        <v>37</v>
      </c>
      <c r="BQ13">
        <f>1010</f>
        <v>1010</v>
      </c>
      <c r="BR13">
        <f>502</f>
        <v>502</v>
      </c>
      <c r="BS13">
        <v>1061</v>
      </c>
      <c r="BT13">
        <v>2594</v>
      </c>
      <c r="BU13">
        <v>2670</v>
      </c>
      <c r="BV13">
        <v>3068</v>
      </c>
      <c r="BW13">
        <v>3600</v>
      </c>
    </row>
    <row r="14" spans="2:75" ht="15" thickBot="1">
      <c r="G14" s="79" t="s">
        <v>345</v>
      </c>
      <c r="H14" s="59"/>
      <c r="I14" s="59"/>
      <c r="J14" s="59"/>
      <c r="K14" s="59"/>
      <c r="L14" s="59"/>
      <c r="M14" s="59"/>
      <c r="U14" t="s">
        <v>229</v>
      </c>
      <c r="V14">
        <f>1526</f>
        <v>1526</v>
      </c>
      <c r="W14">
        <f>1594</f>
        <v>1594</v>
      </c>
      <c r="X14">
        <f>1527</f>
        <v>1527</v>
      </c>
      <c r="Y14">
        <f>2525</f>
        <v>2525</v>
      </c>
      <c r="Z14">
        <f>2988</f>
        <v>2988</v>
      </c>
      <c r="AA14">
        <f>3956</f>
        <v>3956</v>
      </c>
      <c r="AE14" t="s">
        <v>312</v>
      </c>
      <c r="AF14" s="6">
        <f>AF13/AF11</f>
        <v>23.595771144278608</v>
      </c>
      <c r="AG14" s="6">
        <f t="shared" ref="AG14:AK14" si="15">AG13/AG11</f>
        <v>15.269440654843111</v>
      </c>
      <c r="AH14" s="6">
        <f t="shared" si="15"/>
        <v>16.746546961325969</v>
      </c>
      <c r="AI14" s="6">
        <f t="shared" si="15"/>
        <v>25.713653952459921</v>
      </c>
      <c r="AJ14" s="6">
        <f t="shared" si="15"/>
        <v>30.446745562130179</v>
      </c>
      <c r="AK14" s="6">
        <f t="shared" si="15"/>
        <v>154.24672489082968</v>
      </c>
      <c r="AL14" s="2"/>
      <c r="AM14" s="5" t="s">
        <v>64</v>
      </c>
      <c r="AN14" s="5">
        <f>AN12-AN13</f>
        <v>1700</v>
      </c>
      <c r="AO14" s="5">
        <f>AO12-AO13</f>
        <v>3575</v>
      </c>
      <c r="AP14" s="5">
        <f t="shared" ref="AP14:AS14" si="16">AP12-AP13</f>
        <v>1321</v>
      </c>
      <c r="AQ14" s="5">
        <f t="shared" si="16"/>
        <v>5876</v>
      </c>
      <c r="AR14" s="5">
        <f t="shared" si="16"/>
        <v>10977</v>
      </c>
      <c r="AS14" s="5">
        <f t="shared" si="16"/>
        <v>1597</v>
      </c>
      <c r="BP14" t="s">
        <v>38</v>
      </c>
      <c r="BQ14">
        <f>1221</f>
        <v>1221</v>
      </c>
      <c r="BR14">
        <f>729</f>
        <v>729</v>
      </c>
      <c r="BS14">
        <f>5637</f>
        <v>5637</v>
      </c>
      <c r="BT14">
        <f>7108</f>
        <v>7108</v>
      </c>
      <c r="BU14">
        <f>16377</f>
        <v>16377</v>
      </c>
      <c r="BV14">
        <f>6447</f>
        <v>6447</v>
      </c>
      <c r="BW14">
        <f>6693</f>
        <v>6693</v>
      </c>
    </row>
    <row r="15" spans="2:75" ht="15" thickBot="1">
      <c r="G15" s="59" t="s">
        <v>339</v>
      </c>
      <c r="H15" s="78">
        <v>0.79</v>
      </c>
      <c r="I15" s="78">
        <v>1.01</v>
      </c>
      <c r="J15" s="78">
        <v>1.02</v>
      </c>
      <c r="K15" s="78">
        <v>0.72</v>
      </c>
      <c r="L15" s="78">
        <v>0.63</v>
      </c>
      <c r="M15" s="3">
        <v>1.7</v>
      </c>
      <c r="U15" t="s">
        <v>346</v>
      </c>
      <c r="V15">
        <f>0</f>
        <v>0</v>
      </c>
      <c r="W15">
        <f>1000</f>
        <v>1000</v>
      </c>
      <c r="X15">
        <f>1222</f>
        <v>1222</v>
      </c>
      <c r="Y15">
        <f>0</f>
        <v>0</v>
      </c>
      <c r="Z15">
        <v>0</v>
      </c>
      <c r="AA15">
        <f>0</f>
        <v>0</v>
      </c>
      <c r="AE15" s="5" t="s">
        <v>313</v>
      </c>
      <c r="AF15" s="82">
        <f>AF12/AF14</f>
        <v>15.468873543830055</v>
      </c>
      <c r="AG15" s="82">
        <f t="shared" ref="AG15:AK15" si="17">AG12/AG14</f>
        <v>23.903953540317175</v>
      </c>
      <c r="AH15" s="82">
        <f t="shared" si="17"/>
        <v>21.795537960328257</v>
      </c>
      <c r="AI15" s="82">
        <f t="shared" si="17"/>
        <v>14.194793189440194</v>
      </c>
      <c r="AJ15" s="82">
        <f t="shared" si="17"/>
        <v>11.988144981051404</v>
      </c>
      <c r="AK15" s="82">
        <f t="shared" si="17"/>
        <v>2.3663387359331871</v>
      </c>
      <c r="AM15" t="s">
        <v>221</v>
      </c>
      <c r="AN15">
        <f>-141</f>
        <v>-141</v>
      </c>
      <c r="AO15">
        <v>-398</v>
      </c>
      <c r="AP15">
        <v>93</v>
      </c>
      <c r="AQ15">
        <f>-635</f>
        <v>-635</v>
      </c>
      <c r="AR15">
        <v>-1909</v>
      </c>
      <c r="AS15">
        <v>85</v>
      </c>
      <c r="BF15" s="3" t="s">
        <v>36</v>
      </c>
      <c r="BG15" s="3">
        <f>BG8-BG13</f>
        <v>-3076.3199999999997</v>
      </c>
      <c r="BH15" s="3">
        <f>BH8-BH13</f>
        <v>186.27999999999975</v>
      </c>
      <c r="BI15" s="3">
        <f t="shared" ref="BI15:BL15" si="18">BI8-BI13</f>
        <v>-7261.1399999999994</v>
      </c>
      <c r="BJ15" s="3">
        <f t="shared" si="18"/>
        <v>-3899.86</v>
      </c>
      <c r="BK15" s="3">
        <f t="shared" si="18"/>
        <v>-3599.0599999999995</v>
      </c>
      <c r="BL15" s="3">
        <f t="shared" si="18"/>
        <v>-3617.2</v>
      </c>
      <c r="BP15" t="s">
        <v>39</v>
      </c>
      <c r="BQ15">
        <f>(AT29+AT31)*0.02</f>
        <v>636.78</v>
      </c>
      <c r="BR15">
        <f>(AS29+AS31)*0.02</f>
        <v>715.6</v>
      </c>
      <c r="BS15">
        <f>(AR29+AR31)*0.02</f>
        <v>704.9</v>
      </c>
      <c r="BT15">
        <f>(AQ29+AQ31)*0.02</f>
        <v>1098.06</v>
      </c>
      <c r="BU15">
        <f>(AP29+AP31)*0.02</f>
        <v>1426.02</v>
      </c>
      <c r="BV15">
        <f>(AO29+AO31)*0.02</f>
        <v>1625.4</v>
      </c>
      <c r="BW15">
        <f>(AN29+AN31)*0.02</f>
        <v>1716.1200000000001</v>
      </c>
    </row>
    <row r="16" spans="2:75" ht="15" thickBot="1">
      <c r="G16" s="59" t="s">
        <v>311</v>
      </c>
      <c r="H16" s="78">
        <v>0.28999999999999998</v>
      </c>
      <c r="I16" s="78">
        <v>0.5</v>
      </c>
      <c r="J16" s="78">
        <v>0.64</v>
      </c>
      <c r="K16" s="78">
        <v>0.54</v>
      </c>
      <c r="L16" s="78">
        <v>0.47</v>
      </c>
      <c r="M16" s="3">
        <v>1.3</v>
      </c>
      <c r="U16" s="5" t="s">
        <v>317</v>
      </c>
      <c r="V16" s="5">
        <f t="shared" ref="V16:AA16" si="19">V13-V14-V15</f>
        <v>2933</v>
      </c>
      <c r="W16" s="5">
        <f t="shared" si="19"/>
        <v>1298</v>
      </c>
      <c r="X16" s="5">
        <f t="shared" si="19"/>
        <v>646</v>
      </c>
      <c r="Y16" s="5">
        <f t="shared" si="19"/>
        <v>5653</v>
      </c>
      <c r="Z16" s="5">
        <f t="shared" si="19"/>
        <v>8159</v>
      </c>
      <c r="AA16" s="5">
        <f t="shared" si="19"/>
        <v>9871</v>
      </c>
      <c r="AM16" t="s">
        <v>231</v>
      </c>
      <c r="AN16" s="22">
        <f>-AN21</f>
        <v>-94.304117647058831</v>
      </c>
      <c r="AO16" s="22">
        <f>-AO21</f>
        <v>-207.73930069930071</v>
      </c>
      <c r="AP16" s="22">
        <f t="shared" ref="AP16:AR16" si="20">-AP21</f>
        <v>124.32853898561696</v>
      </c>
      <c r="AQ16" s="22">
        <f t="shared" si="20"/>
        <v>-323.98400272294077</v>
      </c>
      <c r="AR16" s="22">
        <f t="shared" si="20"/>
        <v>404.68643527375417</v>
      </c>
      <c r="AS16" s="22">
        <f>-AS21</f>
        <v>106.18346900438323</v>
      </c>
      <c r="BF16" s="3" t="s">
        <v>46</v>
      </c>
      <c r="BG16" s="3">
        <f>23117</f>
        <v>23117</v>
      </c>
      <c r="BH16" s="3">
        <f>28943</f>
        <v>28943</v>
      </c>
      <c r="BI16" s="3">
        <f>38880</f>
        <v>38880</v>
      </c>
      <c r="BJ16" s="3">
        <f>56953</f>
        <v>56953</v>
      </c>
      <c r="BK16" s="3">
        <f>55781</f>
        <v>55781</v>
      </c>
      <c r="BL16" s="3">
        <f>54580</f>
        <v>54580</v>
      </c>
      <c r="BP16" s="5" t="s">
        <v>40</v>
      </c>
      <c r="BQ16" s="40">
        <f>SUM(BQ13:BQ15)</f>
        <v>2867.7799999999997</v>
      </c>
      <c r="BR16" s="40">
        <f>SUM(BR13:BR15)</f>
        <v>1946.6</v>
      </c>
      <c r="BS16" s="40">
        <f>SUM(BS13:BS15)</f>
        <v>7402.9</v>
      </c>
      <c r="BT16" s="40">
        <f t="shared" ref="BT16:BW16" si="21">SUM(BT13:BT15)</f>
        <v>10800.06</v>
      </c>
      <c r="BU16" s="40">
        <f t="shared" si="21"/>
        <v>20473.02</v>
      </c>
      <c r="BV16" s="40">
        <f t="shared" si="21"/>
        <v>11140.4</v>
      </c>
      <c r="BW16" s="40">
        <f t="shared" si="21"/>
        <v>12009.12</v>
      </c>
    </row>
    <row r="17" spans="5:75">
      <c r="H17" s="1"/>
      <c r="I17" s="1"/>
      <c r="J17" s="1"/>
      <c r="K17" s="1"/>
      <c r="L17" s="1"/>
      <c r="M17" s="1"/>
      <c r="U17" t="s">
        <v>221</v>
      </c>
      <c r="V17">
        <f>-633</f>
        <v>-633</v>
      </c>
      <c r="W17">
        <f>-235</f>
        <v>-235</v>
      </c>
      <c r="X17">
        <f>-13</f>
        <v>-13</v>
      </c>
      <c r="Y17">
        <f>-925</f>
        <v>-925</v>
      </c>
      <c r="Z17">
        <f>-1661</f>
        <v>-1661</v>
      </c>
      <c r="AA17">
        <f>-2077</f>
        <v>-2077</v>
      </c>
      <c r="AE17" t="s">
        <v>50</v>
      </c>
      <c r="AF17">
        <f>AF8</f>
        <v>6619</v>
      </c>
      <c r="AG17">
        <f t="shared" ref="AG17:AK17" si="22">AG8</f>
        <v>8504</v>
      </c>
      <c r="AH17">
        <f t="shared" si="22"/>
        <v>9245</v>
      </c>
      <c r="AI17">
        <f t="shared" si="22"/>
        <v>19852</v>
      </c>
      <c r="AJ17">
        <f t="shared" si="22"/>
        <v>16273</v>
      </c>
      <c r="AK17">
        <f t="shared" si="22"/>
        <v>27192</v>
      </c>
      <c r="AM17" t="s">
        <v>232</v>
      </c>
      <c r="AN17" s="22">
        <f>AN15+AN16</f>
        <v>-235.30411764705883</v>
      </c>
      <c r="AO17" s="22">
        <f>AO15+AO16</f>
        <v>-605.73930069930066</v>
      </c>
      <c r="AP17" s="22">
        <f>AP15+AP16</f>
        <v>217.32853898561694</v>
      </c>
      <c r="AQ17" s="22">
        <f t="shared" ref="AQ17:AS17" si="23">AQ15+AQ16</f>
        <v>-958.98400272294077</v>
      </c>
      <c r="AR17" s="22">
        <f t="shared" si="23"/>
        <v>-1504.3135647262459</v>
      </c>
      <c r="AS17" s="22">
        <f t="shared" si="23"/>
        <v>191.18346900438323</v>
      </c>
      <c r="BF17" s="3" t="s">
        <v>47</v>
      </c>
      <c r="BG17" s="3">
        <f>0</f>
        <v>0</v>
      </c>
      <c r="BH17" s="3"/>
      <c r="BI17" s="3"/>
      <c r="BJ17" s="3"/>
      <c r="BK17" s="3"/>
      <c r="BL17" s="3"/>
      <c r="BP17" t="s">
        <v>292</v>
      </c>
      <c r="BQ17">
        <f>918</f>
        <v>918</v>
      </c>
      <c r="BR17">
        <f>596</f>
        <v>596</v>
      </c>
      <c r="BS17">
        <f>3578</f>
        <v>3578</v>
      </c>
      <c r="BT17">
        <v>2978</v>
      </c>
      <c r="BU17">
        <v>1323</v>
      </c>
      <c r="BV17">
        <v>2015</v>
      </c>
      <c r="BW17">
        <v>3121</v>
      </c>
    </row>
    <row r="18" spans="5:75" ht="15" thickBot="1">
      <c r="E18" s="77"/>
      <c r="G18" s="79" t="s">
        <v>347</v>
      </c>
      <c r="H18" s="59"/>
      <c r="I18" s="59"/>
      <c r="J18" s="59"/>
      <c r="K18" s="59"/>
      <c r="L18" s="59"/>
      <c r="M18" s="59"/>
      <c r="U18" t="s">
        <v>231</v>
      </c>
      <c r="V18" s="22">
        <f t="shared" ref="V18:AA18" si="24">-V23</f>
        <v>-61.077054210705761</v>
      </c>
      <c r="W18" s="22">
        <f t="shared" si="24"/>
        <v>-40.011556240369799</v>
      </c>
      <c r="X18" s="22">
        <f t="shared" si="24"/>
        <v>-11.490712074303406</v>
      </c>
      <c r="Y18" s="22">
        <f t="shared" si="24"/>
        <v>-221.22766672563239</v>
      </c>
      <c r="Z18" s="22">
        <f t="shared" si="24"/>
        <v>-119.90795440617724</v>
      </c>
      <c r="AA18" s="22">
        <f t="shared" si="24"/>
        <v>-111.09877418701247</v>
      </c>
      <c r="AE18" t="s">
        <v>315</v>
      </c>
      <c r="AF18">
        <v>1546</v>
      </c>
      <c r="AG18">
        <f>AF6</f>
        <v>1519</v>
      </c>
      <c r="AH18">
        <f t="shared" ref="AH18:AK18" si="25">AG6</f>
        <v>1419</v>
      </c>
      <c r="AI18">
        <f t="shared" si="25"/>
        <v>2030</v>
      </c>
      <c r="AJ18">
        <f t="shared" si="25"/>
        <v>4067</v>
      </c>
      <c r="AK18">
        <f t="shared" si="25"/>
        <v>8287</v>
      </c>
      <c r="AM18" s="5" t="s">
        <v>66</v>
      </c>
      <c r="AN18" s="23">
        <f>AN14+AN17</f>
        <v>1464.6958823529412</v>
      </c>
      <c r="AO18" s="23">
        <f>AO14+AO17</f>
        <v>2969.2606993006993</v>
      </c>
      <c r="AP18" s="23">
        <f>SUM(AP14+AP17)</f>
        <v>1538.3285389856169</v>
      </c>
      <c r="AQ18" s="23">
        <f t="shared" ref="AQ18:AR18" si="26">SUM(AQ14+AQ17)</f>
        <v>4917.0159972770589</v>
      </c>
      <c r="AR18" s="23">
        <f t="shared" si="26"/>
        <v>9472.6864352737539</v>
      </c>
      <c r="AS18" s="23">
        <f>AS14+AS17</f>
        <v>1788.1834690043831</v>
      </c>
      <c r="BF18" s="5" t="s">
        <v>48</v>
      </c>
      <c r="BG18" s="40">
        <f>BG15+BG16</f>
        <v>20040.68</v>
      </c>
      <c r="BH18" s="40">
        <f>BH15+BH16</f>
        <v>29129.279999999999</v>
      </c>
      <c r="BI18" s="40">
        <f t="shared" ref="BI18:BL18" si="27">BI15+BI16</f>
        <v>31618.86</v>
      </c>
      <c r="BJ18" s="40">
        <f t="shared" si="27"/>
        <v>53053.14</v>
      </c>
      <c r="BK18" s="40">
        <f t="shared" si="27"/>
        <v>52181.94</v>
      </c>
      <c r="BL18" s="40">
        <f t="shared" si="27"/>
        <v>50962.8</v>
      </c>
      <c r="BP18" t="s">
        <v>41</v>
      </c>
      <c r="BQ18">
        <f>957</f>
        <v>957</v>
      </c>
      <c r="BR18">
        <f>1267</f>
        <v>1267</v>
      </c>
      <c r="BS18">
        <f>761</f>
        <v>761</v>
      </c>
      <c r="BT18">
        <f>1360</f>
        <v>1360</v>
      </c>
      <c r="BU18">
        <f>1754</f>
        <v>1754</v>
      </c>
      <c r="BV18">
        <f>1849</f>
        <v>1849</v>
      </c>
      <c r="BW18">
        <f>1958</f>
        <v>1958</v>
      </c>
    </row>
    <row r="19" spans="5:75">
      <c r="G19" s="59" t="s">
        <v>339</v>
      </c>
      <c r="H19" s="78">
        <v>1.03</v>
      </c>
      <c r="I19" s="78">
        <v>1.2</v>
      </c>
      <c r="J19" s="78">
        <v>1.29</v>
      </c>
      <c r="K19" s="78">
        <v>1.58</v>
      </c>
      <c r="L19" s="78">
        <v>1.0900000000000001</v>
      </c>
      <c r="M19" s="78">
        <v>0.95</v>
      </c>
      <c r="U19" t="s">
        <v>232</v>
      </c>
      <c r="V19" s="22">
        <f t="shared" ref="V19:AA19" si="28">SUM(V17:V18)</f>
        <v>-694.0770542107058</v>
      </c>
      <c r="W19" s="22">
        <f t="shared" si="28"/>
        <v>-275.01155624036983</v>
      </c>
      <c r="X19" s="22">
        <f t="shared" si="28"/>
        <v>-24.490712074303406</v>
      </c>
      <c r="Y19" s="22">
        <f t="shared" si="28"/>
        <v>-1146.2276667256324</v>
      </c>
      <c r="Z19" s="22">
        <f t="shared" si="28"/>
        <v>-1780.9079544061772</v>
      </c>
      <c r="AA19" s="22">
        <f t="shared" si="28"/>
        <v>-2188.0987741870126</v>
      </c>
      <c r="AE19" t="s">
        <v>316</v>
      </c>
      <c r="AF19">
        <f>AF6</f>
        <v>1519</v>
      </c>
      <c r="AG19">
        <f>AG6</f>
        <v>1419</v>
      </c>
      <c r="AH19">
        <f t="shared" ref="AH19:AK19" si="29">AH6</f>
        <v>2030</v>
      </c>
      <c r="AI19">
        <f t="shared" si="29"/>
        <v>4067</v>
      </c>
      <c r="AJ19">
        <f t="shared" si="29"/>
        <v>8287</v>
      </c>
      <c r="AK19">
        <f t="shared" si="29"/>
        <v>9380</v>
      </c>
      <c r="AM19" t="s">
        <v>235</v>
      </c>
      <c r="AN19">
        <f>-1138</f>
        <v>-1138</v>
      </c>
      <c r="AO19">
        <v>-1871</v>
      </c>
      <c r="AP19">
        <v>-1775</v>
      </c>
      <c r="AQ19">
        <v>-3017</v>
      </c>
      <c r="AR19">
        <v>-2336</v>
      </c>
      <c r="AS19">
        <v>-2005</v>
      </c>
      <c r="BP19" t="s">
        <v>42</v>
      </c>
      <c r="BQ19">
        <f>936</f>
        <v>936</v>
      </c>
      <c r="BR19">
        <f>1277</f>
        <v>1277</v>
      </c>
      <c r="BS19">
        <f>1016</f>
        <v>1016</v>
      </c>
      <c r="BT19">
        <v>1223</v>
      </c>
      <c r="BU19">
        <v>2556</v>
      </c>
      <c r="BV19">
        <v>1971</v>
      </c>
      <c r="BW19">
        <v>2431</v>
      </c>
    </row>
    <row r="20" spans="5:75" ht="15" thickBot="1">
      <c r="G20" s="59" t="s">
        <v>311</v>
      </c>
      <c r="H20" s="80">
        <v>0.87</v>
      </c>
      <c r="I20" s="80">
        <v>1.05</v>
      </c>
      <c r="J20" s="78">
        <v>1.08</v>
      </c>
      <c r="K20" s="78">
        <v>1.4</v>
      </c>
      <c r="L20" s="78">
        <v>1.01</v>
      </c>
      <c r="M20" s="78">
        <v>0.75</v>
      </c>
      <c r="U20" s="5" t="s">
        <v>66</v>
      </c>
      <c r="V20" s="23">
        <f t="shared" ref="V20:AA20" si="30">V16+V19</f>
        <v>2238.9229457892943</v>
      </c>
      <c r="W20" s="23">
        <f t="shared" si="30"/>
        <v>1022.9884437596302</v>
      </c>
      <c r="X20" s="23">
        <f t="shared" si="30"/>
        <v>621.50928792569664</v>
      </c>
      <c r="Y20" s="23">
        <f t="shared" si="30"/>
        <v>4506.7723332743681</v>
      </c>
      <c r="Z20" s="23">
        <f t="shared" si="30"/>
        <v>6378.0920455938231</v>
      </c>
      <c r="AA20" s="23">
        <f t="shared" si="30"/>
        <v>7682.9012258129878</v>
      </c>
      <c r="AE20" s="11" t="s">
        <v>55</v>
      </c>
      <c r="AF20">
        <f>AF17+AF19-AF18</f>
        <v>6592</v>
      </c>
      <c r="AG20">
        <f>AG17+AG19-AG18</f>
        <v>8404</v>
      </c>
      <c r="AH20">
        <f>AH17+AH19-AH18</f>
        <v>9856</v>
      </c>
      <c r="AI20">
        <f>AI17+AI19-AI18</f>
        <v>21889</v>
      </c>
      <c r="AJ20">
        <f t="shared" ref="AJ20:AK20" si="31">AJ17+AJ19-AJ18</f>
        <v>20493</v>
      </c>
      <c r="AK20">
        <f t="shared" si="31"/>
        <v>28285</v>
      </c>
      <c r="AM20" t="s">
        <v>236</v>
      </c>
      <c r="AN20">
        <f>1</f>
        <v>1</v>
      </c>
      <c r="AO20">
        <v>5</v>
      </c>
      <c r="AP20">
        <v>9</v>
      </c>
      <c r="AQ20">
        <v>19</v>
      </c>
      <c r="AR20">
        <v>9</v>
      </c>
      <c r="AS20">
        <v>10</v>
      </c>
      <c r="BF20" s="3"/>
      <c r="BG20" s="3">
        <v>2016</v>
      </c>
      <c r="BH20" s="3">
        <v>2017</v>
      </c>
      <c r="BI20" s="3">
        <v>2018</v>
      </c>
      <c r="BJ20" s="3">
        <v>2019</v>
      </c>
      <c r="BK20" s="3">
        <v>2020</v>
      </c>
      <c r="BL20" s="3">
        <v>2021</v>
      </c>
      <c r="BP20" t="s">
        <v>43</v>
      </c>
      <c r="BQ20">
        <f>289</f>
        <v>289</v>
      </c>
      <c r="BR20">
        <f>311</f>
        <v>311</v>
      </c>
      <c r="BS20">
        <f>572</f>
        <v>572</v>
      </c>
      <c r="BT20">
        <v>3081</v>
      </c>
      <c r="BU20">
        <v>3223</v>
      </c>
      <c r="BV20">
        <v>4350</v>
      </c>
      <c r="BW20">
        <v>3873</v>
      </c>
    </row>
    <row r="21" spans="5:75" ht="15" thickBot="1">
      <c r="H21" s="1"/>
      <c r="I21" s="1"/>
      <c r="J21" s="1"/>
      <c r="K21" s="1"/>
      <c r="L21" s="1"/>
      <c r="M21" s="1"/>
      <c r="U21" t="s">
        <v>235</v>
      </c>
      <c r="V21">
        <f>-383</f>
        <v>-383</v>
      </c>
      <c r="W21">
        <f>-277</f>
        <v>-277</v>
      </c>
      <c r="X21">
        <f>-613</f>
        <v>-613</v>
      </c>
      <c r="Y21">
        <f>-1488</f>
        <v>-1488</v>
      </c>
      <c r="Z21">
        <f>-688</f>
        <v>-688</v>
      </c>
      <c r="AA21">
        <f>-954</f>
        <v>-954</v>
      </c>
      <c r="AE21" t="s">
        <v>318</v>
      </c>
      <c r="AF21">
        <f>(2377+2403)/2</f>
        <v>2390</v>
      </c>
      <c r="AG21">
        <f>(5401+2377)/2</f>
        <v>3889</v>
      </c>
      <c r="AH21">
        <f>(8874+5401)/2</f>
        <v>7137.5</v>
      </c>
      <c r="AI21">
        <f>(7506+8874)/2</f>
        <v>8190</v>
      </c>
      <c r="AJ21">
        <f>(5861+7506)/2</f>
        <v>6683.5</v>
      </c>
      <c r="AK21">
        <f>(7690+5861)/2</f>
        <v>6775.5</v>
      </c>
      <c r="AM21" t="s">
        <v>237</v>
      </c>
      <c r="AN21" s="22">
        <f>-(AN20+AN19)*AV8</f>
        <v>94.304117647058831</v>
      </c>
      <c r="AO21" s="22">
        <f>-(AO19+AO20)*AW8</f>
        <v>207.73930069930071</v>
      </c>
      <c r="AP21" s="22">
        <f>-(AP19+AP20)*AX8</f>
        <v>-124.32853898561696</v>
      </c>
      <c r="AQ21" s="22">
        <f>-(AQ19+AQ20)*AY8</f>
        <v>323.98400272294077</v>
      </c>
      <c r="AR21" s="22">
        <f>-(AR19+AR20)*AZ8</f>
        <v>-404.68643527375417</v>
      </c>
      <c r="AS21" s="22">
        <f>-(AS19+AS20)*BA8</f>
        <v>-106.18346900438323</v>
      </c>
      <c r="BF21" s="3" t="s">
        <v>48</v>
      </c>
      <c r="BG21" s="3">
        <f>BG18</f>
        <v>20040.68</v>
      </c>
      <c r="BH21" s="3">
        <f t="shared" ref="BH21:BL21" si="32">BH18</f>
        <v>29129.279999999999</v>
      </c>
      <c r="BI21" s="3">
        <f t="shared" si="32"/>
        <v>31618.86</v>
      </c>
      <c r="BJ21" s="3">
        <f t="shared" si="32"/>
        <v>53053.14</v>
      </c>
      <c r="BK21" s="3">
        <f t="shared" si="32"/>
        <v>52181.94</v>
      </c>
      <c r="BL21" s="3">
        <f t="shared" si="32"/>
        <v>50962.8</v>
      </c>
      <c r="BP21" s="5" t="s">
        <v>44</v>
      </c>
      <c r="BQ21" s="40">
        <f>SUM(BQ17:BQ20)</f>
        <v>3100</v>
      </c>
      <c r="BR21" s="40">
        <f>SUM(BR17:BR20)</f>
        <v>3451</v>
      </c>
      <c r="BS21" s="40">
        <f>SUM(BS17:BS20)</f>
        <v>5927</v>
      </c>
      <c r="BT21" s="40">
        <f t="shared" ref="BT21:BW21" si="33">SUM(BT17:BT20)</f>
        <v>8642</v>
      </c>
      <c r="BU21" s="40">
        <f t="shared" si="33"/>
        <v>8856</v>
      </c>
      <c r="BV21" s="40">
        <f t="shared" si="33"/>
        <v>10185</v>
      </c>
      <c r="BW21" s="40">
        <f t="shared" si="33"/>
        <v>11383</v>
      </c>
    </row>
    <row r="22" spans="5:75" ht="15" thickBot="1">
      <c r="G22" s="79" t="s">
        <v>348</v>
      </c>
      <c r="H22" s="59"/>
      <c r="I22" s="59"/>
      <c r="J22" s="59"/>
      <c r="K22" s="59"/>
      <c r="L22" s="59"/>
      <c r="M22" s="59"/>
      <c r="U22" t="s">
        <v>236</v>
      </c>
      <c r="V22">
        <f>100</f>
        <v>100</v>
      </c>
      <c r="W22">
        <f>56</f>
        <v>56</v>
      </c>
      <c r="X22">
        <f>42</f>
        <v>42</v>
      </c>
      <c r="Y22">
        <f>136</f>
        <v>136</v>
      </c>
      <c r="Z22">
        <f>99</f>
        <v>99</v>
      </c>
      <c r="AA22">
        <f>426</f>
        <v>426</v>
      </c>
      <c r="AE22" t="s">
        <v>304</v>
      </c>
      <c r="AF22">
        <v>365</v>
      </c>
      <c r="AG22">
        <v>365</v>
      </c>
      <c r="AH22">
        <v>365</v>
      </c>
      <c r="AI22">
        <v>365</v>
      </c>
      <c r="AJ22">
        <v>365</v>
      </c>
      <c r="AK22">
        <v>365</v>
      </c>
      <c r="AM22" s="5" t="s">
        <v>349</v>
      </c>
      <c r="AN22" s="23">
        <f>SUM(AN18:AN21)</f>
        <v>422.00000000000006</v>
      </c>
      <c r="AO22" s="23">
        <f>SUM(AO18:AO21)</f>
        <v>1311</v>
      </c>
      <c r="AP22" s="23">
        <f>SUM(AP18:AP21)</f>
        <v>-352.00000000000006</v>
      </c>
      <c r="AQ22" s="23">
        <f t="shared" ref="AQ22:AR22" si="34">SUM(AQ18:AQ21)</f>
        <v>2242.9999999999995</v>
      </c>
      <c r="AR22" s="23">
        <f t="shared" si="34"/>
        <v>6741</v>
      </c>
      <c r="AS22" s="23">
        <f>SUM(AS18:AS21)</f>
        <v>-313.00000000000011</v>
      </c>
      <c r="BF22" s="3" t="s">
        <v>66</v>
      </c>
      <c r="BG22" s="42">
        <f>AN18</f>
        <v>1464.6958823529412</v>
      </c>
      <c r="BH22" s="42">
        <f t="shared" ref="BH22:BL22" si="35">AO18</f>
        <v>2969.2606993006993</v>
      </c>
      <c r="BI22" s="42">
        <f t="shared" si="35"/>
        <v>1538.3285389856169</v>
      </c>
      <c r="BJ22" s="42">
        <f t="shared" si="35"/>
        <v>4917.0159972770589</v>
      </c>
      <c r="BK22" s="42">
        <f t="shared" si="35"/>
        <v>9472.6864352737539</v>
      </c>
      <c r="BL22" s="42">
        <f t="shared" si="35"/>
        <v>1788.1834690043831</v>
      </c>
    </row>
    <row r="23" spans="5:75">
      <c r="G23" s="59" t="s">
        <v>339</v>
      </c>
      <c r="H23" s="81">
        <v>1.1399999999999999</v>
      </c>
      <c r="I23" s="81">
        <v>1.08</v>
      </c>
      <c r="J23" s="81">
        <v>1.33</v>
      </c>
      <c r="K23" s="81">
        <v>1.32</v>
      </c>
      <c r="L23" s="81">
        <v>1.78</v>
      </c>
      <c r="M23" s="81">
        <v>1.28</v>
      </c>
      <c r="U23" t="s">
        <v>237</v>
      </c>
      <c r="V23" s="95">
        <f t="shared" ref="V23:AA23" si="36">-(V21+V22)*O8</f>
        <v>61.077054210705761</v>
      </c>
      <c r="W23" s="95">
        <f t="shared" si="36"/>
        <v>40.011556240369799</v>
      </c>
      <c r="X23" s="95">
        <f t="shared" si="36"/>
        <v>11.490712074303406</v>
      </c>
      <c r="Y23" s="95">
        <f t="shared" si="36"/>
        <v>221.22766672563239</v>
      </c>
      <c r="Z23" s="95">
        <f t="shared" si="36"/>
        <v>119.90795440617724</v>
      </c>
      <c r="AA23" s="95">
        <f t="shared" si="36"/>
        <v>111.09877418701247</v>
      </c>
      <c r="AE23" t="s">
        <v>312</v>
      </c>
      <c r="AF23" s="6">
        <f>AF20/AF21</f>
        <v>2.7581589958158994</v>
      </c>
      <c r="AG23" s="6">
        <f t="shared" ref="AG23:AK23" si="37">AG20/AG21</f>
        <v>2.1609668295191566</v>
      </c>
      <c r="AH23" s="6">
        <f>AH20/AH21</f>
        <v>1.3808756567425569</v>
      </c>
      <c r="AI23" s="6">
        <f t="shared" si="37"/>
        <v>2.6726495726495725</v>
      </c>
      <c r="AJ23" s="6">
        <f t="shared" si="37"/>
        <v>3.0662078252412659</v>
      </c>
      <c r="AK23" s="6">
        <f t="shared" si="37"/>
        <v>4.1745996605416575</v>
      </c>
      <c r="BF23" s="25" t="s">
        <v>350</v>
      </c>
      <c r="BG23" s="25"/>
      <c r="BH23" s="26">
        <f>(BH22)/((BH21+BG21)/2)</f>
        <v>0.12077539616874609</v>
      </c>
      <c r="BI23" s="26">
        <f t="shared" ref="BI23:BL23" si="38">(BI22)/((BI21+BH21)/2)</f>
        <v>5.0646111600638866E-2</v>
      </c>
      <c r="BJ23" s="26">
        <f t="shared" si="38"/>
        <v>0.11614266811406507</v>
      </c>
      <c r="BK23" s="26">
        <f t="shared" si="38"/>
        <v>0.18002906322252529</v>
      </c>
      <c r="BL23" s="26">
        <f t="shared" si="38"/>
        <v>3.4673284725995394E-2</v>
      </c>
      <c r="BP23" s="25" t="s">
        <v>36</v>
      </c>
      <c r="BQ23" s="25">
        <f>BQ16-BQ21</f>
        <v>-232.22000000000025</v>
      </c>
      <c r="BR23" s="25">
        <f>BR16-BR21</f>
        <v>-1504.4</v>
      </c>
      <c r="BS23" s="25">
        <f>BS16-BS21</f>
        <v>1475.8999999999996</v>
      </c>
      <c r="BT23" s="25">
        <f t="shared" ref="BT23:BW23" si="39">BT16-BT21</f>
        <v>2158.0599999999995</v>
      </c>
      <c r="BU23" s="25">
        <f t="shared" si="39"/>
        <v>11617.02</v>
      </c>
      <c r="BV23" s="25">
        <f t="shared" si="39"/>
        <v>955.39999999999964</v>
      </c>
      <c r="BW23" s="25">
        <f t="shared" si="39"/>
        <v>626.1200000000008</v>
      </c>
    </row>
    <row r="24" spans="5:75" ht="15" thickBot="1">
      <c r="G24" s="59" t="s">
        <v>311</v>
      </c>
      <c r="H24" s="81">
        <v>1.06</v>
      </c>
      <c r="I24" s="81">
        <v>1.02</v>
      </c>
      <c r="J24" s="81">
        <v>1.29</v>
      </c>
      <c r="K24" s="81">
        <v>1.27</v>
      </c>
      <c r="L24" s="81">
        <v>1.67</v>
      </c>
      <c r="M24" s="81">
        <v>1.25</v>
      </c>
      <c r="U24" s="5" t="s">
        <v>349</v>
      </c>
      <c r="V24" s="96">
        <f t="shared" ref="V24:AA24" si="40">SUM(V20:V23)</f>
        <v>2017</v>
      </c>
      <c r="W24" s="96">
        <f t="shared" si="40"/>
        <v>842</v>
      </c>
      <c r="X24" s="96">
        <f t="shared" si="40"/>
        <v>62.000000000000043</v>
      </c>
      <c r="Y24" s="96">
        <f t="shared" si="40"/>
        <v>3376.0000000000005</v>
      </c>
      <c r="Z24" s="96">
        <f t="shared" si="40"/>
        <v>5909</v>
      </c>
      <c r="AA24" s="23">
        <f t="shared" si="40"/>
        <v>7266</v>
      </c>
      <c r="AE24" s="5" t="s">
        <v>325</v>
      </c>
      <c r="AF24" s="84">
        <f>AF22/AF23</f>
        <v>132.33464805825244</v>
      </c>
      <c r="AG24" s="84">
        <f t="shared" ref="AG24:AK24" si="41">AG22/AG23</f>
        <v>168.90587815326035</v>
      </c>
      <c r="AH24" s="84">
        <f>AH22/AH23</f>
        <v>264.32503043831173</v>
      </c>
      <c r="AI24" s="84">
        <f t="shared" si="41"/>
        <v>136.56859609849698</v>
      </c>
      <c r="AJ24" s="84">
        <f t="shared" si="41"/>
        <v>119.03955009027473</v>
      </c>
      <c r="AK24" s="84">
        <f t="shared" si="41"/>
        <v>87.433533675092804</v>
      </c>
      <c r="AN24" s="105"/>
      <c r="AO24" s="105"/>
      <c r="AP24" s="105"/>
      <c r="AQ24" s="105"/>
      <c r="AR24" s="105"/>
      <c r="AS24" s="105"/>
      <c r="BP24" s="25" t="s">
        <v>46</v>
      </c>
      <c r="BQ24" s="25">
        <f>1739</f>
        <v>1739</v>
      </c>
      <c r="BR24" s="25">
        <f>1768</f>
        <v>1768</v>
      </c>
      <c r="BS24" s="25">
        <f>2213</f>
        <v>2213</v>
      </c>
      <c r="BT24" s="25">
        <f>2746</f>
        <v>2746</v>
      </c>
      <c r="BU24" s="25">
        <f>2212</f>
        <v>2212</v>
      </c>
      <c r="BV24" s="25">
        <f>1978</f>
        <v>1978</v>
      </c>
      <c r="BW24" s="25">
        <f>1688</f>
        <v>1688</v>
      </c>
    </row>
    <row r="25" spans="5:75">
      <c r="H25" s="1"/>
      <c r="I25" s="1"/>
      <c r="J25" s="1"/>
      <c r="K25" s="1"/>
      <c r="L25" s="1"/>
      <c r="M25" s="1"/>
      <c r="AN25" s="51"/>
      <c r="AO25" s="51"/>
      <c r="AP25" s="51"/>
      <c r="AQ25" s="51"/>
      <c r="AR25" s="51"/>
      <c r="AS25" s="51"/>
      <c r="BP25" s="25" t="s">
        <v>48</v>
      </c>
      <c r="BQ25" s="25">
        <f>BQ23+BQ24</f>
        <v>1506.7799999999997</v>
      </c>
      <c r="BR25" s="25">
        <f>BR23+BR24</f>
        <v>263.59999999999991</v>
      </c>
      <c r="BS25" s="25">
        <f>BS23+BS24</f>
        <v>3688.8999999999996</v>
      </c>
      <c r="BT25" s="25">
        <f t="shared" ref="BT25:BW25" si="42">BT23+BT24</f>
        <v>4904.0599999999995</v>
      </c>
      <c r="BU25" s="25">
        <f t="shared" si="42"/>
        <v>13829.02</v>
      </c>
      <c r="BV25" s="25">
        <f t="shared" si="42"/>
        <v>2933.3999999999996</v>
      </c>
      <c r="BW25" s="25">
        <f t="shared" si="42"/>
        <v>2314.1200000000008</v>
      </c>
    </row>
    <row r="26" spans="5:75">
      <c r="G26" s="79" t="s">
        <v>351</v>
      </c>
      <c r="H26" s="59"/>
      <c r="I26" s="59"/>
      <c r="J26" s="59"/>
      <c r="K26" s="59"/>
      <c r="L26" s="59"/>
      <c r="M26" s="59"/>
      <c r="AE26" s="85" t="s">
        <v>328</v>
      </c>
      <c r="AF26" s="86">
        <f t="shared" ref="AF26:AK26" si="43">AF9+AF15-AF24</f>
        <v>-33.10161074346</v>
      </c>
      <c r="AG26" s="86">
        <f t="shared" si="43"/>
        <v>-84.097056315671296</v>
      </c>
      <c r="AH26" s="86">
        <f t="shared" si="43"/>
        <v>-162.38346759967087</v>
      </c>
      <c r="AI26" s="86">
        <f t="shared" si="43"/>
        <v>-47.597709820199242</v>
      </c>
      <c r="AJ26" s="86">
        <f t="shared" si="43"/>
        <v>78.82427853853676</v>
      </c>
      <c r="AK26" s="86">
        <f t="shared" si="43"/>
        <v>40.841160459487043</v>
      </c>
    </row>
    <row r="27" spans="5:75" ht="16.2" thickBot="1">
      <c r="G27" s="59" t="s">
        <v>339</v>
      </c>
      <c r="H27" s="81">
        <v>1.35</v>
      </c>
      <c r="I27" s="81">
        <v>1.83</v>
      </c>
      <c r="J27" s="81">
        <v>0.34</v>
      </c>
      <c r="K27" s="81">
        <v>0.78</v>
      </c>
      <c r="L27" s="81">
        <v>1.1599999999999999</v>
      </c>
      <c r="M27" s="81">
        <v>1.27</v>
      </c>
      <c r="U27" t="s">
        <v>36</v>
      </c>
      <c r="AM27" s="572" t="s">
        <v>217</v>
      </c>
      <c r="AN27" s="572"/>
      <c r="AO27" s="572"/>
      <c r="AP27" s="572"/>
      <c r="AQ27" s="572"/>
      <c r="AR27" s="572"/>
      <c r="AS27" s="572"/>
      <c r="AT27" s="74"/>
      <c r="BF27" s="536" t="s">
        <v>240</v>
      </c>
      <c r="BG27" s="536">
        <v>2022</v>
      </c>
      <c r="BH27" s="536">
        <v>2021</v>
      </c>
      <c r="BI27" s="536">
        <v>2020</v>
      </c>
      <c r="BJ27" s="536">
        <v>2019</v>
      </c>
      <c r="BK27" s="536">
        <v>2018</v>
      </c>
      <c r="BL27" s="536">
        <v>2017</v>
      </c>
      <c r="BM27" s="537">
        <v>2016</v>
      </c>
    </row>
    <row r="28" spans="5:75" ht="18.600000000000001" thickBot="1">
      <c r="G28" s="59" t="s">
        <v>311</v>
      </c>
      <c r="H28" s="81">
        <v>1.27</v>
      </c>
      <c r="I28" s="81">
        <v>1.58</v>
      </c>
      <c r="J28" s="81">
        <v>0.21</v>
      </c>
      <c r="K28" s="81">
        <v>0.38</v>
      </c>
      <c r="L28" s="81">
        <v>0.76</v>
      </c>
      <c r="M28" s="81">
        <v>1.04</v>
      </c>
      <c r="U28" t="s">
        <v>46</v>
      </c>
      <c r="AG28" s="574" t="s">
        <v>352</v>
      </c>
      <c r="AH28" s="574"/>
      <c r="AM28" s="12" t="s">
        <v>218</v>
      </c>
      <c r="AN28" s="12">
        <v>2022</v>
      </c>
      <c r="AO28" s="12">
        <v>2021</v>
      </c>
      <c r="AP28" s="12">
        <v>2020</v>
      </c>
      <c r="AQ28" s="12">
        <v>2019</v>
      </c>
      <c r="AR28" s="12">
        <v>2018</v>
      </c>
      <c r="AS28" s="12">
        <v>2017</v>
      </c>
      <c r="AT28" s="12">
        <v>2016</v>
      </c>
      <c r="BF28" s="520" t="s">
        <v>10</v>
      </c>
      <c r="BG28" s="482"/>
      <c r="BH28" s="482"/>
      <c r="BI28" s="482"/>
      <c r="BJ28" s="542"/>
      <c r="BK28" s="548">
        <v>504</v>
      </c>
      <c r="BL28" s="542">
        <v>1884</v>
      </c>
      <c r="BM28" s="482"/>
      <c r="BP28" s="3"/>
      <c r="BQ28" s="3">
        <v>2016</v>
      </c>
      <c r="BR28" s="3">
        <v>2017</v>
      </c>
      <c r="BS28" s="3">
        <v>2018</v>
      </c>
      <c r="BT28" s="3">
        <v>2019</v>
      </c>
      <c r="BU28" s="3">
        <v>2020</v>
      </c>
      <c r="BV28" s="3">
        <v>2021</v>
      </c>
      <c r="BW28" s="3">
        <v>2022</v>
      </c>
    </row>
    <row r="29" spans="5:75" ht="15.6">
      <c r="U29" t="s">
        <v>247</v>
      </c>
      <c r="AD29" s="132" t="s">
        <v>96</v>
      </c>
      <c r="AE29" s="132"/>
      <c r="AF29" s="132">
        <v>2016</v>
      </c>
      <c r="AG29" s="132">
        <v>2017</v>
      </c>
      <c r="AH29" s="132">
        <v>2018</v>
      </c>
      <c r="AI29" s="132">
        <v>2019</v>
      </c>
      <c r="AJ29" s="132">
        <v>2020</v>
      </c>
      <c r="AK29" s="132">
        <v>2021</v>
      </c>
      <c r="AL29" s="140" t="s">
        <v>7</v>
      </c>
      <c r="AM29" s="38" t="s">
        <v>220</v>
      </c>
      <c r="AN29" s="101">
        <v>85305</v>
      </c>
      <c r="AO29" s="101">
        <v>80867</v>
      </c>
      <c r="AP29" s="101">
        <v>70187</v>
      </c>
      <c r="AQ29" s="101">
        <v>54268</v>
      </c>
      <c r="AR29" s="101">
        <v>34765</v>
      </c>
      <c r="AS29" s="101">
        <v>35300</v>
      </c>
      <c r="AT29" s="101">
        <v>31378</v>
      </c>
      <c r="BF29" s="520" t="s">
        <v>12</v>
      </c>
      <c r="BG29" s="542">
        <v>1198</v>
      </c>
      <c r="BH29" s="542">
        <v>1295</v>
      </c>
      <c r="BI29" s="542">
        <v>1829</v>
      </c>
      <c r="BJ29" s="542">
        <v>392</v>
      </c>
      <c r="BK29" s="542">
        <v>728</v>
      </c>
      <c r="BL29" s="542">
        <v>1162</v>
      </c>
      <c r="BM29" s="542">
        <v>1450</v>
      </c>
      <c r="BP29" s="3" t="s">
        <v>48</v>
      </c>
      <c r="BQ29" s="3">
        <f>BQ25</f>
        <v>1506.7799999999997</v>
      </c>
      <c r="BR29" s="3">
        <f t="shared" ref="BR29:BW29" si="44">BR25</f>
        <v>263.59999999999991</v>
      </c>
      <c r="BS29" s="3">
        <f t="shared" si="44"/>
        <v>3688.8999999999996</v>
      </c>
      <c r="BT29" s="3">
        <f t="shared" si="44"/>
        <v>4904.0599999999995</v>
      </c>
      <c r="BU29" s="3">
        <f t="shared" si="44"/>
        <v>13829.02</v>
      </c>
      <c r="BV29" s="3">
        <f t="shared" si="44"/>
        <v>2933.3999999999996</v>
      </c>
      <c r="BW29" s="3">
        <f t="shared" si="44"/>
        <v>2314.1200000000008</v>
      </c>
    </row>
    <row r="30" spans="5:75" ht="15.6">
      <c r="G30" s="3" t="s">
        <v>353</v>
      </c>
      <c r="H30" s="59">
        <f>(H7+H11+H15+H19+H23+H27)/6</f>
        <v>1.085</v>
      </c>
      <c r="I30" s="59">
        <f>(I7+I11+I15+I19+I23+I27)/6</f>
        <v>1.28</v>
      </c>
      <c r="J30" s="59">
        <f t="shared" ref="J30:M30" si="45">(J7+J11+J15+J19+J23+J27)/6</f>
        <v>1.0650000000000002</v>
      </c>
      <c r="K30" s="59">
        <f t="shared" si="45"/>
        <v>1.0816666666666668</v>
      </c>
      <c r="L30" s="59">
        <f t="shared" si="45"/>
        <v>1.4383333333333332</v>
      </c>
      <c r="M30" s="59">
        <f t="shared" si="45"/>
        <v>1.3716666666666668</v>
      </c>
      <c r="U30" t="s">
        <v>285</v>
      </c>
      <c r="AD30" s="575" t="s">
        <v>306</v>
      </c>
      <c r="AE30" s="126"/>
      <c r="AF30" s="127">
        <f t="shared" ref="AF30:AK30" si="46">AF9</f>
        <v>83.764163770962384</v>
      </c>
      <c r="AG30" s="127">
        <f t="shared" si="46"/>
        <v>60.904868297271875</v>
      </c>
      <c r="AH30" s="127">
        <f t="shared" si="46"/>
        <v>80.146024878312602</v>
      </c>
      <c r="AI30" s="127">
        <f t="shared" si="46"/>
        <v>74.77609308885755</v>
      </c>
      <c r="AJ30" s="127">
        <f t="shared" si="46"/>
        <v>185.8756836477601</v>
      </c>
      <c r="AK30" s="127">
        <f t="shared" si="46"/>
        <v>125.90835539864666</v>
      </c>
      <c r="AM30" s="38" t="s">
        <v>189</v>
      </c>
      <c r="AN30" s="102">
        <f>0</f>
        <v>0</v>
      </c>
      <c r="AO30" s="102">
        <f>(AO29/AN29)-1</f>
        <v>-5.2025086454486891E-2</v>
      </c>
      <c r="AP30" s="22"/>
      <c r="AQ30" s="22"/>
      <c r="AR30" s="22"/>
      <c r="AS30" s="22"/>
      <c r="AT30" s="22"/>
      <c r="BF30" s="520" t="s">
        <v>14</v>
      </c>
      <c r="BG30" s="542">
        <v>490</v>
      </c>
      <c r="BH30" s="542">
        <v>683</v>
      </c>
      <c r="BI30" s="542">
        <v>383</v>
      </c>
      <c r="BJ30" s="542">
        <v>470</v>
      </c>
      <c r="BK30" s="542">
        <v>979</v>
      </c>
      <c r="BL30" s="542">
        <v>605</v>
      </c>
      <c r="BM30" s="542">
        <v>289</v>
      </c>
      <c r="BP30" s="3" t="s">
        <v>66</v>
      </c>
      <c r="BQ30" s="42">
        <f>AT46</f>
        <v>4916.9355493529565</v>
      </c>
      <c r="BR30" s="42">
        <f>AS46</f>
        <v>6373.0170087976539</v>
      </c>
      <c r="BS30" s="42">
        <f>AR46</f>
        <v>5335.6210235131393</v>
      </c>
      <c r="BT30" s="42">
        <f>AQ46</f>
        <v>7156.8533423135214</v>
      </c>
      <c r="BU30" s="42">
        <f>AP46</f>
        <v>14618.17568127226</v>
      </c>
      <c r="BV30" s="42">
        <f>AO46</f>
        <v>10523.762761359654</v>
      </c>
      <c r="BW30" s="42">
        <f>AN46</f>
        <v>13570.308999821078</v>
      </c>
    </row>
    <row r="31" spans="5:75" ht="15.6">
      <c r="G31" s="3" t="s">
        <v>354</v>
      </c>
      <c r="H31" s="59">
        <f>(H8+H12+H16+H20+H24+H28)/6</f>
        <v>0.82</v>
      </c>
      <c r="I31" s="59">
        <f t="shared" ref="I31:M31" si="47">(I8+I12+I16+I20+I24+I28)/6</f>
        <v>1.0016666666666667</v>
      </c>
      <c r="J31" s="59">
        <f t="shared" si="47"/>
        <v>0.84666666666666668</v>
      </c>
      <c r="K31" s="59">
        <f t="shared" si="47"/>
        <v>0.84666666666666668</v>
      </c>
      <c r="L31" s="59">
        <f t="shared" si="47"/>
        <v>1.1749999999999998</v>
      </c>
      <c r="M31" s="59">
        <f t="shared" si="47"/>
        <v>1.0983333333333334</v>
      </c>
      <c r="AD31" s="576"/>
      <c r="AE31" s="126"/>
      <c r="AF31" s="127">
        <f t="shared" ref="AF31:AK31" si="48">AF15</f>
        <v>15.468873543830055</v>
      </c>
      <c r="AG31" s="127">
        <f t="shared" si="48"/>
        <v>23.903953540317175</v>
      </c>
      <c r="AH31" s="127">
        <f t="shared" si="48"/>
        <v>21.795537960328257</v>
      </c>
      <c r="AI31" s="127">
        <f t="shared" si="48"/>
        <v>14.194793189440194</v>
      </c>
      <c r="AJ31" s="127">
        <f t="shared" si="48"/>
        <v>11.988144981051404</v>
      </c>
      <c r="AK31" s="127">
        <f t="shared" si="48"/>
        <v>2.3663387359331871</v>
      </c>
      <c r="AM31" t="s">
        <v>223</v>
      </c>
      <c r="AN31" s="101">
        <v>501</v>
      </c>
      <c r="AO31" s="101">
        <v>403</v>
      </c>
      <c r="AP31" s="101">
        <v>1114</v>
      </c>
      <c r="AQ31" s="101">
        <v>635</v>
      </c>
      <c r="AR31" s="101">
        <v>480</v>
      </c>
      <c r="AS31" s="101">
        <v>480</v>
      </c>
      <c r="AT31" s="101">
        <v>461</v>
      </c>
      <c r="AW31">
        <v>2022</v>
      </c>
      <c r="AX31">
        <v>2021</v>
      </c>
      <c r="AY31">
        <v>2020</v>
      </c>
      <c r="AZ31">
        <v>2019</v>
      </c>
      <c r="BA31">
        <v>2018</v>
      </c>
      <c r="BB31">
        <v>2017</v>
      </c>
      <c r="BC31">
        <v>2016</v>
      </c>
      <c r="BF31" s="520" t="s">
        <v>247</v>
      </c>
      <c r="BG31" s="482"/>
      <c r="BH31" s="482"/>
      <c r="BI31" s="482"/>
      <c r="BJ31" s="482"/>
      <c r="BK31" s="482"/>
      <c r="BL31" s="538"/>
      <c r="BM31" s="482"/>
      <c r="BP31" s="3" t="s">
        <v>350</v>
      </c>
      <c r="BQ31" s="3"/>
      <c r="BR31" s="10">
        <f>(BR30)/((BR29+BQ29)/2)</f>
        <v>7.1996034848988977</v>
      </c>
      <c r="BS31" s="10">
        <f t="shared" ref="BS31:BW31" si="49">(BS30)/((BS29+BR29)/2)</f>
        <v>2.6998714856486479</v>
      </c>
      <c r="BT31" s="10">
        <f t="shared" si="49"/>
        <v>1.6657480873444126</v>
      </c>
      <c r="BU31" s="10">
        <f t="shared" si="49"/>
        <v>1.5606804306896953</v>
      </c>
      <c r="BV31" s="10">
        <f t="shared" si="49"/>
        <v>1.2556376419824411</v>
      </c>
      <c r="BW31" s="10">
        <f t="shared" si="49"/>
        <v>5.1720847180462686</v>
      </c>
    </row>
    <row r="32" spans="5:75" ht="15.6">
      <c r="G32" s="3"/>
      <c r="H32" s="3"/>
      <c r="I32" s="3"/>
      <c r="J32" s="3"/>
      <c r="K32" s="3"/>
      <c r="L32" s="3"/>
      <c r="M32" s="3"/>
      <c r="AD32" s="575" t="s">
        <v>313</v>
      </c>
      <c r="AE32" s="126"/>
      <c r="AF32" s="127">
        <f t="shared" ref="AF32:AK32" si="50">AF24</f>
        <v>132.33464805825244</v>
      </c>
      <c r="AG32" s="127">
        <f t="shared" si="50"/>
        <v>168.90587815326035</v>
      </c>
      <c r="AH32" s="127">
        <f t="shared" si="50"/>
        <v>264.32503043831173</v>
      </c>
      <c r="AI32" s="127">
        <f t="shared" si="50"/>
        <v>136.56859609849698</v>
      </c>
      <c r="AJ32" s="127">
        <f t="shared" si="50"/>
        <v>119.03955009027473</v>
      </c>
      <c r="AK32" s="127">
        <f t="shared" si="50"/>
        <v>87.433533675092804</v>
      </c>
      <c r="AM32" t="s">
        <v>50</v>
      </c>
      <c r="AN32" s="101">
        <v>18380</v>
      </c>
      <c r="AO32" s="101">
        <v>12353</v>
      </c>
      <c r="AP32" s="101">
        <v>13060</v>
      </c>
      <c r="AQ32" s="101">
        <v>10869</v>
      </c>
      <c r="AR32" s="101">
        <v>7005</v>
      </c>
      <c r="AS32" s="101">
        <v>8401</v>
      </c>
      <c r="AT32" s="101">
        <v>7158</v>
      </c>
      <c r="AV32" s="3" t="s">
        <v>219</v>
      </c>
      <c r="AW32" s="100">
        <v>11178</v>
      </c>
      <c r="AX32" s="100">
        <v>8561</v>
      </c>
      <c r="AY32" s="100">
        <v>12073</v>
      </c>
      <c r="AZ32" s="100">
        <v>5939</v>
      </c>
      <c r="BA32" s="100">
        <v>4338</v>
      </c>
      <c r="BB32" s="100">
        <v>5115</v>
      </c>
      <c r="BC32" s="100">
        <v>3941</v>
      </c>
      <c r="BF32" s="482" t="s">
        <v>246</v>
      </c>
      <c r="BG32" s="482"/>
      <c r="BH32" s="482"/>
      <c r="BI32" s="482"/>
      <c r="BJ32" s="482"/>
      <c r="BK32" s="482"/>
      <c r="BL32" s="543"/>
      <c r="BM32" s="482"/>
    </row>
    <row r="33" spans="7:74" ht="16.2" thickBot="1">
      <c r="G33" s="3" t="s">
        <v>355</v>
      </c>
      <c r="H33" s="59">
        <f>Likviditetsanalyse!B8</f>
        <v>2.3767021906453523</v>
      </c>
      <c r="I33" s="59">
        <f>Likviditetsanalyse!C8</f>
        <v>2.7570844686648504</v>
      </c>
      <c r="J33" s="59">
        <f>Likviditetsanalyse!D8</f>
        <v>2.8520420640743458</v>
      </c>
      <c r="K33" s="59">
        <f>Likviditetsanalyse!E8</f>
        <v>2.2275472586085181</v>
      </c>
      <c r="L33" s="59">
        <f>Likviditetsanalyse!F8</f>
        <v>0.83756613756613751</v>
      </c>
      <c r="M33" s="59">
        <f>Likviditetsanalyse!G8</f>
        <v>1.4373591707976565</v>
      </c>
      <c r="U33" s="11" t="s">
        <v>36</v>
      </c>
      <c r="V33" s="11">
        <v>2016</v>
      </c>
      <c r="W33" s="11">
        <v>2017</v>
      </c>
      <c r="X33" s="11">
        <v>2018</v>
      </c>
      <c r="Y33" s="11">
        <v>2019</v>
      </c>
      <c r="Z33" s="11">
        <v>2020</v>
      </c>
      <c r="AA33" s="11">
        <v>2021</v>
      </c>
      <c r="AD33" s="577"/>
      <c r="AE33" s="128"/>
      <c r="AF33" s="135">
        <f t="shared" ref="AF33:AK33" si="51">AF26</f>
        <v>-33.10161074346</v>
      </c>
      <c r="AG33" s="135">
        <f t="shared" si="51"/>
        <v>-84.097056315671296</v>
      </c>
      <c r="AH33" s="135">
        <f t="shared" si="51"/>
        <v>-162.38346759967087</v>
      </c>
      <c r="AI33" s="135">
        <f t="shared" si="51"/>
        <v>-47.597709820199242</v>
      </c>
      <c r="AJ33" s="135">
        <f t="shared" si="51"/>
        <v>78.82427853853676</v>
      </c>
      <c r="AK33" s="135">
        <f t="shared" si="51"/>
        <v>40.841160459487043</v>
      </c>
      <c r="AM33" s="31" t="s">
        <v>224</v>
      </c>
      <c r="AN33" s="68">
        <f t="shared" ref="AN33:AT33" si="52">AN29+AN31-AN32</f>
        <v>67426</v>
      </c>
      <c r="AO33" s="68">
        <f t="shared" si="52"/>
        <v>68917</v>
      </c>
      <c r="AP33" s="68">
        <f t="shared" si="52"/>
        <v>58241</v>
      </c>
      <c r="AQ33" s="68">
        <f t="shared" si="52"/>
        <v>44034</v>
      </c>
      <c r="AR33" s="68">
        <f t="shared" si="52"/>
        <v>28240</v>
      </c>
      <c r="AS33" s="68">
        <f t="shared" si="52"/>
        <v>27379</v>
      </c>
      <c r="AT33" s="68">
        <f t="shared" si="52"/>
        <v>24681</v>
      </c>
      <c r="AV33" s="3" t="s">
        <v>221</v>
      </c>
      <c r="AW33" s="100">
        <v>2431</v>
      </c>
      <c r="AX33" s="100">
        <v>1971</v>
      </c>
      <c r="AY33" s="100">
        <v>2556</v>
      </c>
      <c r="AZ33" s="100">
        <v>1223</v>
      </c>
      <c r="BA33" s="100">
        <v>1016</v>
      </c>
      <c r="BB33" s="100">
        <v>1257</v>
      </c>
      <c r="BC33" s="100">
        <v>956</v>
      </c>
      <c r="BF33" s="536" t="s">
        <v>254</v>
      </c>
      <c r="BG33" s="536">
        <f t="shared" ref="BG33:BM33" si="53">SUM(BG28:BG32)</f>
        <v>1688</v>
      </c>
      <c r="BH33" s="536">
        <f t="shared" si="53"/>
        <v>1978</v>
      </c>
      <c r="BI33" s="536">
        <f t="shared" si="53"/>
        <v>2212</v>
      </c>
      <c r="BJ33" s="536">
        <f t="shared" si="53"/>
        <v>862</v>
      </c>
      <c r="BK33" s="536">
        <f t="shared" si="53"/>
        <v>2211</v>
      </c>
      <c r="BL33" s="536">
        <f t="shared" si="53"/>
        <v>3651</v>
      </c>
      <c r="BM33" s="536">
        <f t="shared" si="53"/>
        <v>1739</v>
      </c>
    </row>
    <row r="34" spans="7:74">
      <c r="G34" s="3" t="s">
        <v>356</v>
      </c>
      <c r="H34" s="59">
        <f>Likviditetsanalyse!B15</f>
        <v>1.7833037300177619</v>
      </c>
      <c r="I34" s="59">
        <f>Likviditetsanalyse!C15</f>
        <v>2.1166212534059947</v>
      </c>
      <c r="J34" s="59">
        <f>Likviditetsanalyse!D15</f>
        <v>2.3302763511861091</v>
      </c>
      <c r="K34" s="59">
        <f>Likviditetsanalyse!E15</f>
        <v>1.8650874578398307</v>
      </c>
      <c r="L34" s="59">
        <f>Likviditetsanalyse!F15</f>
        <v>0.52719576719576722</v>
      </c>
      <c r="M34" s="59">
        <f>Likviditetsanalyse!G15</f>
        <v>1.0593735917079765</v>
      </c>
      <c r="U34" t="s">
        <v>37</v>
      </c>
      <c r="V34">
        <f>1519</f>
        <v>1519</v>
      </c>
      <c r="W34">
        <f>1419</f>
        <v>1419</v>
      </c>
      <c r="X34">
        <f>2030</f>
        <v>2030</v>
      </c>
      <c r="Y34">
        <f>4067</f>
        <v>4067</v>
      </c>
      <c r="Z34">
        <f>8287</f>
        <v>8287</v>
      </c>
      <c r="AA34">
        <f>9380</f>
        <v>9380</v>
      </c>
      <c r="AD34" s="570"/>
      <c r="AE34" s="136"/>
      <c r="AF34" s="136"/>
      <c r="AG34" s="136"/>
      <c r="AH34" s="136"/>
      <c r="AI34" s="136"/>
      <c r="AJ34" s="136"/>
      <c r="AK34" s="136"/>
      <c r="AM34" s="33" t="s">
        <v>23</v>
      </c>
      <c r="AN34" s="104">
        <f t="shared" ref="AN34:AT34" si="54">AN33/AN29</f>
        <v>0.79041087861203918</v>
      </c>
      <c r="AO34" s="104">
        <f t="shared" si="54"/>
        <v>0.85222649535657313</v>
      </c>
      <c r="AP34" s="104">
        <f t="shared" si="54"/>
        <v>0.82979754085514412</v>
      </c>
      <c r="AQ34" s="104">
        <f t="shared" si="54"/>
        <v>0.8114174098916489</v>
      </c>
      <c r="AR34" s="104">
        <f t="shared" si="54"/>
        <v>0.8123112325614843</v>
      </c>
      <c r="AS34" s="104">
        <f t="shared" si="54"/>
        <v>0.77560906515580741</v>
      </c>
      <c r="AT34" s="104">
        <f t="shared" si="54"/>
        <v>0.78657020842628589</v>
      </c>
      <c r="AV34" s="3" t="s">
        <v>222</v>
      </c>
      <c r="AW34" s="1">
        <f t="shared" ref="AW34:BC34" si="55">AW33/AW32</f>
        <v>0.21748076578994455</v>
      </c>
      <c r="AX34" s="1">
        <f t="shared" si="55"/>
        <v>0.23023011330452051</v>
      </c>
      <c r="AY34" s="1">
        <f t="shared" si="55"/>
        <v>0.21171208481736106</v>
      </c>
      <c r="AZ34" s="1">
        <f t="shared" si="55"/>
        <v>0.20592692372453275</v>
      </c>
      <c r="BA34" s="1">
        <f t="shared" si="55"/>
        <v>0.23420931304748732</v>
      </c>
      <c r="BB34" s="1">
        <f t="shared" si="55"/>
        <v>0.24574780058651027</v>
      </c>
      <c r="BC34" s="1">
        <f t="shared" si="55"/>
        <v>0.24257802588175589</v>
      </c>
      <c r="BF34" s="520" t="s">
        <v>257</v>
      </c>
      <c r="BG34" s="535">
        <v>3600</v>
      </c>
      <c r="BH34" s="535">
        <v>3068</v>
      </c>
      <c r="BI34" s="535">
        <v>2670</v>
      </c>
      <c r="BJ34" s="535">
        <v>2594</v>
      </c>
      <c r="BK34" s="535">
        <v>1061</v>
      </c>
      <c r="BL34" s="535">
        <v>502</v>
      </c>
      <c r="BM34" s="535">
        <v>1010</v>
      </c>
    </row>
    <row r="35" spans="7:74" ht="15.6">
      <c r="U35" t="s">
        <v>38</v>
      </c>
      <c r="V35">
        <f>1633</f>
        <v>1633</v>
      </c>
      <c r="W35">
        <f>3473</f>
        <v>3473</v>
      </c>
      <c r="X35">
        <f>4565</f>
        <v>4565</v>
      </c>
      <c r="Y35">
        <f>4467</f>
        <v>4467</v>
      </c>
      <c r="Z35">
        <f>4360</f>
        <v>4360</v>
      </c>
      <c r="AA35">
        <f>4747</f>
        <v>4747</v>
      </c>
      <c r="AD35" s="570"/>
      <c r="AE35" s="137"/>
      <c r="AF35" s="133"/>
      <c r="AG35" s="133"/>
      <c r="AH35" s="133"/>
      <c r="AI35" s="133"/>
      <c r="AJ35" s="133"/>
      <c r="AK35" s="133"/>
      <c r="AM35" t="s">
        <v>226</v>
      </c>
      <c r="AN35" s="101">
        <v>18270</v>
      </c>
      <c r="AO35" s="101">
        <v>15995</v>
      </c>
      <c r="AP35" s="101">
        <v>15094</v>
      </c>
      <c r="AQ35" s="101">
        <v>12920</v>
      </c>
      <c r="AR35" s="101">
        <v>7417</v>
      </c>
      <c r="AS35" s="101">
        <v>8840</v>
      </c>
      <c r="AT35" s="101">
        <v>6572</v>
      </c>
      <c r="BF35" s="520" t="s">
        <v>262</v>
      </c>
      <c r="BG35" s="482">
        <f t="shared" ref="BG35:BM35" si="56">AN29*0.02</f>
        <v>1706.1000000000001</v>
      </c>
      <c r="BH35" s="482">
        <f t="shared" si="56"/>
        <v>1617.3400000000001</v>
      </c>
      <c r="BI35" s="482">
        <f t="shared" si="56"/>
        <v>1403.74</v>
      </c>
      <c r="BJ35" s="482">
        <f t="shared" si="56"/>
        <v>1085.3600000000001</v>
      </c>
      <c r="BK35" s="482">
        <f t="shared" si="56"/>
        <v>695.30000000000007</v>
      </c>
      <c r="BL35" s="482">
        <f t="shared" si="56"/>
        <v>706</v>
      </c>
      <c r="BM35" s="519">
        <f t="shared" si="56"/>
        <v>627.56000000000006</v>
      </c>
    </row>
    <row r="36" spans="7:74" ht="15.6">
      <c r="U36" t="s">
        <v>39</v>
      </c>
      <c r="V36" s="22">
        <f>V6*0.02</f>
        <v>369.6</v>
      </c>
      <c r="W36" s="22">
        <v>345</v>
      </c>
      <c r="X36" s="22">
        <f>X6*0.02</f>
        <v>472.86</v>
      </c>
      <c r="Y36" s="22">
        <f>Y6*0.02</f>
        <v>912.58</v>
      </c>
      <c r="Z36" s="22">
        <f>Z6*0.02</f>
        <v>1011.64</v>
      </c>
      <c r="AA36" s="22">
        <f>AA6*0.02</f>
        <v>1388.92</v>
      </c>
      <c r="AE36" s="137"/>
      <c r="AF36" s="133"/>
      <c r="AG36" s="133"/>
      <c r="AH36" s="133"/>
      <c r="AI36" s="133"/>
      <c r="AJ36" s="133"/>
      <c r="AK36" s="133"/>
      <c r="AM36" t="s">
        <v>227</v>
      </c>
      <c r="AN36" s="101">
        <v>37290</v>
      </c>
      <c r="AO36" s="101">
        <v>43546</v>
      </c>
      <c r="AP36" s="101">
        <v>30323</v>
      </c>
      <c r="AQ36" s="101">
        <v>24467</v>
      </c>
      <c r="AR36" s="101">
        <v>15721</v>
      </c>
      <c r="AS36" s="101">
        <v>12735</v>
      </c>
      <c r="AT36" s="101">
        <v>13699</v>
      </c>
      <c r="BF36" s="520" t="s">
        <v>266</v>
      </c>
      <c r="BG36" s="535">
        <v>6693</v>
      </c>
      <c r="BH36" s="535">
        <v>6447</v>
      </c>
      <c r="BI36" s="535">
        <v>16377</v>
      </c>
      <c r="BJ36" s="535">
        <v>7108</v>
      </c>
      <c r="BK36" s="535">
        <v>5637</v>
      </c>
      <c r="BL36" s="535">
        <v>729</v>
      </c>
      <c r="BM36" s="535">
        <v>1221</v>
      </c>
    </row>
    <row r="37" spans="7:74" ht="15" thickBot="1">
      <c r="G37" s="3"/>
      <c r="H37" s="3">
        <v>2016</v>
      </c>
      <c r="I37" s="3">
        <v>2017</v>
      </c>
      <c r="J37" s="3">
        <v>2018</v>
      </c>
      <c r="K37" s="3">
        <v>2019</v>
      </c>
      <c r="L37" s="3">
        <v>2020</v>
      </c>
      <c r="M37" s="94">
        <v>2021</v>
      </c>
      <c r="N37" s="490">
        <v>2022</v>
      </c>
      <c r="U37" s="5" t="s">
        <v>40</v>
      </c>
      <c r="V37" s="5">
        <f t="shared" ref="V37:AA37" si="57">SUM(V34:V36)</f>
        <v>3521.6</v>
      </c>
      <c r="W37" s="5">
        <f t="shared" si="57"/>
        <v>5237</v>
      </c>
      <c r="X37" s="5">
        <f t="shared" si="57"/>
        <v>7067.86</v>
      </c>
      <c r="Y37" s="5">
        <f t="shared" si="57"/>
        <v>9446.58</v>
      </c>
      <c r="Z37" s="5">
        <f t="shared" si="57"/>
        <v>13658.64</v>
      </c>
      <c r="AA37" s="5">
        <f t="shared" si="57"/>
        <v>15515.92</v>
      </c>
      <c r="AE37" s="137"/>
      <c r="AF37" s="116"/>
      <c r="AG37" s="116"/>
      <c r="AH37" s="116"/>
      <c r="AI37" s="116"/>
      <c r="AJ37" s="116"/>
      <c r="AK37" s="116"/>
      <c r="AM37" s="28" t="s">
        <v>162</v>
      </c>
      <c r="AN37" s="22">
        <f t="shared" ref="AN37:AT37" si="58">AN33-AN35-AN36</f>
        <v>11866</v>
      </c>
      <c r="AO37" s="22">
        <f t="shared" si="58"/>
        <v>9376</v>
      </c>
      <c r="AP37" s="22">
        <f t="shared" si="58"/>
        <v>12824</v>
      </c>
      <c r="AQ37" s="22">
        <f t="shared" si="58"/>
        <v>6647</v>
      </c>
      <c r="AR37" s="22">
        <f t="shared" si="58"/>
        <v>5102</v>
      </c>
      <c r="AS37" s="22">
        <f t="shared" si="58"/>
        <v>5804</v>
      </c>
      <c r="AT37" s="22">
        <f t="shared" si="58"/>
        <v>4410</v>
      </c>
      <c r="BF37" s="482" t="s">
        <v>256</v>
      </c>
      <c r="BG37" s="535">
        <v>-3121</v>
      </c>
      <c r="BH37" s="535">
        <v>-2015</v>
      </c>
      <c r="BI37" s="535">
        <v>-1323</v>
      </c>
      <c r="BJ37" s="535">
        <v>-2978</v>
      </c>
      <c r="BK37" s="535">
        <v>-3578</v>
      </c>
      <c r="BL37" s="535">
        <v>-596</v>
      </c>
      <c r="BM37" s="535">
        <v>-918</v>
      </c>
      <c r="BP37" s="11"/>
      <c r="BQ37" s="11">
        <v>2016</v>
      </c>
      <c r="BR37" s="11">
        <v>2017</v>
      </c>
      <c r="BS37" s="11">
        <v>2018</v>
      </c>
      <c r="BT37" s="11">
        <v>2019</v>
      </c>
      <c r="BU37" s="11">
        <v>2020</v>
      </c>
      <c r="BV37" s="11">
        <v>2021</v>
      </c>
    </row>
    <row r="38" spans="7:74" ht="15" thickBot="1">
      <c r="G38" s="3" t="str">
        <f t="shared" ref="G38:M38" si="59">G33</f>
        <v>Miljø likviditet 1</v>
      </c>
      <c r="H38" s="59">
        <f t="shared" si="59"/>
        <v>2.3767021906453523</v>
      </c>
      <c r="I38" s="59">
        <f t="shared" si="59"/>
        <v>2.7570844686648504</v>
      </c>
      <c r="J38" s="59">
        <f t="shared" si="59"/>
        <v>2.8520420640743458</v>
      </c>
      <c r="K38" s="59">
        <f t="shared" si="59"/>
        <v>2.2275472586085181</v>
      </c>
      <c r="L38" s="59">
        <f t="shared" si="59"/>
        <v>0.83756613756613751</v>
      </c>
      <c r="M38" s="491">
        <f t="shared" si="59"/>
        <v>1.4373591707976565</v>
      </c>
      <c r="N38" s="59">
        <f>Likviditetsanalyse!H19</f>
        <v>1.388713888377749</v>
      </c>
      <c r="O38" s="158">
        <f>AVERAGE(H38:N38)</f>
        <v>1.98243073981923</v>
      </c>
      <c r="U38" t="s">
        <v>292</v>
      </c>
      <c r="V38">
        <f>2377</f>
        <v>2377</v>
      </c>
      <c r="W38">
        <f>5401</f>
        <v>5401</v>
      </c>
      <c r="X38">
        <f>8874</f>
        <v>8874</v>
      </c>
      <c r="Y38">
        <f>7506</f>
        <v>7506</v>
      </c>
      <c r="Z38">
        <f>5861</f>
        <v>5861</v>
      </c>
      <c r="AA38">
        <f>7690</f>
        <v>7690</v>
      </c>
      <c r="AE38" s="137"/>
      <c r="AF38" s="138"/>
      <c r="AG38" s="138"/>
      <c r="AH38" s="138"/>
      <c r="AI38" s="138"/>
      <c r="AJ38" s="138"/>
      <c r="AK38" s="138"/>
      <c r="AM38" s="29" t="s">
        <v>228</v>
      </c>
      <c r="AN38" s="103">
        <f t="shared" ref="AN38:AT38" si="60">AN37/AN29</f>
        <v>0.13910087333685012</v>
      </c>
      <c r="AO38" s="103">
        <f t="shared" si="60"/>
        <v>0.11594346272274228</v>
      </c>
      <c r="AP38" s="103">
        <f t="shared" si="60"/>
        <v>0.18271189821476913</v>
      </c>
      <c r="AQ38" s="103">
        <f t="shared" si="60"/>
        <v>0.12248470553549053</v>
      </c>
      <c r="AR38" s="103">
        <f t="shared" si="60"/>
        <v>0.14675679562778657</v>
      </c>
      <c r="AS38" s="103">
        <f t="shared" si="60"/>
        <v>0.16441926345609065</v>
      </c>
      <c r="AT38" s="103">
        <f t="shared" si="60"/>
        <v>0.14054433042258907</v>
      </c>
      <c r="BF38" s="482" t="s">
        <v>260</v>
      </c>
      <c r="BG38" s="535">
        <v>-1958</v>
      </c>
      <c r="BH38" s="535">
        <v>-1849</v>
      </c>
      <c r="BI38" s="535">
        <v>-1754</v>
      </c>
      <c r="BJ38" s="535">
        <v>-1360</v>
      </c>
      <c r="BK38" s="535">
        <v>-761</v>
      </c>
      <c r="BL38" s="535">
        <v>-1267</v>
      </c>
      <c r="BM38" s="535">
        <v>-957</v>
      </c>
      <c r="BP38" t="s">
        <v>37</v>
      </c>
      <c r="BR38">
        <f>8129</f>
        <v>8129</v>
      </c>
      <c r="BS38">
        <f>6917</f>
        <v>6917</v>
      </c>
      <c r="BT38">
        <f>7131</f>
        <v>7131</v>
      </c>
      <c r="BU38">
        <f>7719</f>
        <v>7719</v>
      </c>
      <c r="BV38">
        <f>9496</f>
        <v>9496</v>
      </c>
    </row>
    <row r="39" spans="7:74" ht="15.6">
      <c r="G39" s="3" t="s">
        <v>357</v>
      </c>
      <c r="H39" s="59">
        <f>M30</f>
        <v>1.3716666666666668</v>
      </c>
      <c r="I39" s="59">
        <f>L30</f>
        <v>1.4383333333333332</v>
      </c>
      <c r="J39" s="59">
        <f>K30</f>
        <v>1.0816666666666668</v>
      </c>
      <c r="K39" s="59">
        <f>J30</f>
        <v>1.0650000000000002</v>
      </c>
      <c r="L39" s="59">
        <f>I30</f>
        <v>1.28</v>
      </c>
      <c r="M39" s="491">
        <f>H30</f>
        <v>1.085</v>
      </c>
      <c r="N39" s="3"/>
      <c r="O39" s="158">
        <f>AVERAGE(H39:M39)</f>
        <v>1.2202777777777778</v>
      </c>
      <c r="U39" t="s">
        <v>41</v>
      </c>
      <c r="V39">
        <f>285</f>
        <v>285</v>
      </c>
      <c r="W39">
        <f>376</f>
        <v>376</v>
      </c>
      <c r="X39">
        <f>390</f>
        <v>390</v>
      </c>
      <c r="Y39">
        <f>707</f>
        <v>707</v>
      </c>
      <c r="Z39">
        <f>752</f>
        <v>752</v>
      </c>
      <c r="AA39">
        <f>857</f>
        <v>857</v>
      </c>
      <c r="AM39" t="s">
        <v>229</v>
      </c>
      <c r="AN39" s="101">
        <v>738</v>
      </c>
      <c r="AO39" s="101">
        <v>826</v>
      </c>
      <c r="AP39" s="101">
        <v>765</v>
      </c>
      <c r="AQ39" s="101">
        <v>715</v>
      </c>
      <c r="AR39" s="101">
        <v>788</v>
      </c>
      <c r="AS39" s="101">
        <v>687</v>
      </c>
      <c r="AT39" s="101">
        <v>443</v>
      </c>
      <c r="BF39" s="482" t="s">
        <v>268</v>
      </c>
      <c r="BG39" s="535">
        <v>-3873</v>
      </c>
      <c r="BH39" s="535">
        <v>-4350</v>
      </c>
      <c r="BI39" s="535">
        <v>-3233</v>
      </c>
      <c r="BJ39" s="535">
        <v>-3081</v>
      </c>
      <c r="BK39" s="535">
        <v>-572</v>
      </c>
      <c r="BL39" s="535">
        <v>-311</v>
      </c>
      <c r="BM39" s="535">
        <v>-289</v>
      </c>
      <c r="BP39" t="s">
        <v>38</v>
      </c>
      <c r="BR39">
        <f>11301</f>
        <v>11301</v>
      </c>
      <c r="BS39">
        <f>13347</f>
        <v>13347</v>
      </c>
      <c r="BT39">
        <f>8170</f>
        <v>8170</v>
      </c>
      <c r="BU39">
        <f>9690</f>
        <v>9690</v>
      </c>
      <c r="BV39">
        <f>7385</f>
        <v>7385</v>
      </c>
    </row>
    <row r="40" spans="7:74">
      <c r="U40" t="s">
        <v>42</v>
      </c>
      <c r="V40">
        <v>627</v>
      </c>
      <c r="W40">
        <f>464</f>
        <v>464</v>
      </c>
      <c r="X40">
        <f>285</f>
        <v>285</v>
      </c>
      <c r="Y40">
        <f>474</f>
        <v>474</v>
      </c>
      <c r="Z40">
        <f>621</f>
        <v>621</v>
      </c>
      <c r="AA40">
        <f>1338</f>
        <v>1338</v>
      </c>
      <c r="AM40" s="28" t="s">
        <v>64</v>
      </c>
      <c r="AN40" s="22">
        <f t="shared" ref="AN40:AT40" si="61">AN37-AN39</f>
        <v>11128</v>
      </c>
      <c r="AO40" s="22">
        <f t="shared" si="61"/>
        <v>8550</v>
      </c>
      <c r="AP40" s="22">
        <f t="shared" si="61"/>
        <v>12059</v>
      </c>
      <c r="AQ40" s="22">
        <f t="shared" si="61"/>
        <v>5932</v>
      </c>
      <c r="AR40" s="22">
        <f t="shared" si="61"/>
        <v>4314</v>
      </c>
      <c r="AS40" s="22">
        <f t="shared" si="61"/>
        <v>5117</v>
      </c>
      <c r="AT40" s="22">
        <f t="shared" si="61"/>
        <v>3967</v>
      </c>
      <c r="BF40" s="482" t="s">
        <v>271</v>
      </c>
      <c r="BG40" s="482">
        <v>-2431</v>
      </c>
      <c r="BH40" s="482">
        <v>-1971</v>
      </c>
      <c r="BI40" s="482">
        <v>-2556</v>
      </c>
      <c r="BJ40" s="482">
        <v>-1223</v>
      </c>
      <c r="BK40" s="482">
        <v>-1016</v>
      </c>
      <c r="BL40" s="482">
        <v>-1277</v>
      </c>
      <c r="BM40" s="482">
        <v>-936</v>
      </c>
      <c r="BP40" t="s">
        <v>39</v>
      </c>
    </row>
    <row r="41" spans="7:74" ht="15" thickBot="1">
      <c r="U41" t="s">
        <v>43</v>
      </c>
      <c r="V41">
        <v>547</v>
      </c>
      <c r="W41">
        <v>1549</v>
      </c>
      <c r="X41">
        <f>1391</f>
        <v>1391</v>
      </c>
      <c r="Y41">
        <f>2019</f>
        <v>2019</v>
      </c>
      <c r="Z41">
        <f>3435</f>
        <v>3435</v>
      </c>
      <c r="AA41">
        <f>7933</f>
        <v>7933</v>
      </c>
      <c r="AM41" s="29" t="s">
        <v>230</v>
      </c>
      <c r="AN41" s="103">
        <f t="shared" ref="AN41:AT41" si="62">AN40/AN29</f>
        <v>0.13044956333157492</v>
      </c>
      <c r="AO41" s="103">
        <f t="shared" si="62"/>
        <v>0.10572916022605018</v>
      </c>
      <c r="AP41" s="103">
        <f t="shared" si="62"/>
        <v>0.1718124438998675</v>
      </c>
      <c r="AQ41" s="103">
        <f t="shared" si="62"/>
        <v>0.10930935357853615</v>
      </c>
      <c r="AR41" s="103">
        <f t="shared" si="62"/>
        <v>0.12409032072486696</v>
      </c>
      <c r="AS41" s="103">
        <f t="shared" si="62"/>
        <v>0.14495750708215296</v>
      </c>
      <c r="AT41" s="103">
        <f t="shared" si="62"/>
        <v>0.12642615845496846</v>
      </c>
      <c r="BF41" s="536" t="s">
        <v>36</v>
      </c>
      <c r="BG41" s="539">
        <f t="shared" ref="BG41:BM41" si="63">SUM(BG34:BG40)</f>
        <v>616.10000000000036</v>
      </c>
      <c r="BH41" s="539">
        <f t="shared" si="63"/>
        <v>947.34000000000015</v>
      </c>
      <c r="BI41" s="539">
        <f t="shared" si="63"/>
        <v>11584.739999999998</v>
      </c>
      <c r="BJ41" s="539">
        <f t="shared" si="63"/>
        <v>2145.3600000000006</v>
      </c>
      <c r="BK41" s="539">
        <f t="shared" si="63"/>
        <v>1466.3000000000002</v>
      </c>
      <c r="BL41" s="539">
        <f t="shared" si="63"/>
        <v>-1514</v>
      </c>
      <c r="BM41" s="539">
        <f t="shared" si="63"/>
        <v>-241.44000000000005</v>
      </c>
      <c r="BP41" s="5" t="s">
        <v>40</v>
      </c>
      <c r="BQ41" s="40"/>
      <c r="BR41" s="40"/>
      <c r="BS41" s="40"/>
      <c r="BT41" s="40"/>
      <c r="BU41" s="40"/>
      <c r="BV41" s="40"/>
    </row>
    <row r="42" spans="7:74" ht="16.2" thickBot="1">
      <c r="G42" s="3"/>
      <c r="H42" s="3">
        <v>2016</v>
      </c>
      <c r="I42" s="3">
        <v>2017</v>
      </c>
      <c r="J42" s="3">
        <v>2018</v>
      </c>
      <c r="K42" s="3">
        <v>2019</v>
      </c>
      <c r="L42" s="3">
        <v>2020</v>
      </c>
      <c r="M42" s="94">
        <v>2021</v>
      </c>
      <c r="N42" s="490">
        <v>2022</v>
      </c>
      <c r="U42" s="5" t="s">
        <v>44</v>
      </c>
      <c r="V42" s="5">
        <f t="shared" ref="V42:AA42" si="64">SUM(V38:V41)</f>
        <v>3836</v>
      </c>
      <c r="W42" s="5">
        <f t="shared" si="64"/>
        <v>7790</v>
      </c>
      <c r="X42" s="5">
        <f t="shared" si="64"/>
        <v>10940</v>
      </c>
      <c r="Y42" s="5">
        <f t="shared" si="64"/>
        <v>10706</v>
      </c>
      <c r="Z42" s="5">
        <f t="shared" si="64"/>
        <v>10669</v>
      </c>
      <c r="AA42" s="5">
        <f t="shared" si="64"/>
        <v>17818</v>
      </c>
      <c r="AM42" t="s">
        <v>221</v>
      </c>
      <c r="AN42" s="101">
        <v>2431</v>
      </c>
      <c r="AO42" s="101">
        <v>1971</v>
      </c>
      <c r="AP42" s="101">
        <v>2556</v>
      </c>
      <c r="AQ42" s="101">
        <v>1223</v>
      </c>
      <c r="AR42" s="101">
        <v>1016</v>
      </c>
      <c r="AS42" s="101">
        <v>1257</v>
      </c>
      <c r="AT42" s="101">
        <v>956</v>
      </c>
      <c r="AW42" s="22"/>
      <c r="AX42" s="22"/>
      <c r="AY42" s="22"/>
      <c r="AZ42" s="22"/>
      <c r="BA42" s="22"/>
      <c r="BB42" s="22"/>
      <c r="BF42" s="482"/>
      <c r="BG42" s="482"/>
      <c r="BH42" s="482"/>
      <c r="BI42" s="482"/>
      <c r="BJ42" s="482"/>
      <c r="BK42" s="482"/>
      <c r="BL42" s="482"/>
      <c r="BM42" s="482"/>
      <c r="BP42" t="s">
        <v>292</v>
      </c>
      <c r="BR42">
        <f>10133</f>
        <v>10133</v>
      </c>
      <c r="BS42">
        <f>10974</f>
        <v>10974</v>
      </c>
      <c r="BT42">
        <f>8751</f>
        <v>8751</v>
      </c>
      <c r="BU42">
        <f>10834</f>
        <v>10834</v>
      </c>
      <c r="BV42">
        <f>7867</f>
        <v>7867</v>
      </c>
    </row>
    <row r="43" spans="7:74" ht="15" thickBot="1">
      <c r="G43" s="3" t="s">
        <v>358</v>
      </c>
      <c r="H43" s="59">
        <f t="shared" ref="H43:M43" si="65">H34</f>
        <v>1.7833037300177619</v>
      </c>
      <c r="I43" s="59">
        <f t="shared" si="65"/>
        <v>2.1166212534059947</v>
      </c>
      <c r="J43" s="59">
        <f t="shared" si="65"/>
        <v>2.3302763511861091</v>
      </c>
      <c r="K43" s="59">
        <f t="shared" si="65"/>
        <v>1.8650874578398307</v>
      </c>
      <c r="L43" s="59">
        <f t="shared" si="65"/>
        <v>0.52719576719576722</v>
      </c>
      <c r="M43" s="491">
        <f t="shared" si="65"/>
        <v>1.0593735917079765</v>
      </c>
      <c r="N43" s="59">
        <f>Likviditetsanalyse!H20</f>
        <v>1.0518120002445031</v>
      </c>
      <c r="O43" s="158">
        <f>AVERAGE(H43:N43)</f>
        <v>1.5333814502282777</v>
      </c>
      <c r="AM43" t="s">
        <v>231</v>
      </c>
      <c r="AN43" s="22">
        <f t="shared" ref="AN43:AT43" si="66">-AN49</f>
        <v>11.308999821077116</v>
      </c>
      <c r="AO43" s="22">
        <f t="shared" si="66"/>
        <v>2.7627613596542462</v>
      </c>
      <c r="AP43" s="22">
        <f t="shared" si="66"/>
        <v>3.175681272260416</v>
      </c>
      <c r="AQ43" s="22">
        <f t="shared" si="66"/>
        <v>1.8533423135207947</v>
      </c>
      <c r="AR43" s="22">
        <f t="shared" si="66"/>
        <v>5.6210235131396953</v>
      </c>
      <c r="AS43" s="22">
        <f t="shared" si="66"/>
        <v>-0.98299120234604109</v>
      </c>
      <c r="AT43" s="22">
        <f t="shared" si="66"/>
        <v>-6.0644506470438975</v>
      </c>
      <c r="AW43" s="22"/>
      <c r="AX43" s="22"/>
      <c r="AY43" s="22"/>
      <c r="AZ43" s="22"/>
      <c r="BA43" s="22"/>
      <c r="BB43" s="22"/>
      <c r="BC43" s="22"/>
      <c r="BF43" s="536" t="s">
        <v>359</v>
      </c>
      <c r="BG43" s="539">
        <f t="shared" ref="BG43:BM43" si="67">BG33+BG41</f>
        <v>2304.1000000000004</v>
      </c>
      <c r="BH43" s="539">
        <f t="shared" si="67"/>
        <v>2925.34</v>
      </c>
      <c r="BI43" s="539">
        <f t="shared" si="67"/>
        <v>13796.739999999998</v>
      </c>
      <c r="BJ43" s="539">
        <f t="shared" si="67"/>
        <v>3007.3600000000006</v>
      </c>
      <c r="BK43" s="539">
        <f t="shared" si="67"/>
        <v>3677.3</v>
      </c>
      <c r="BL43" s="539">
        <f t="shared" si="67"/>
        <v>2137</v>
      </c>
      <c r="BM43" s="539">
        <f t="shared" si="67"/>
        <v>1497.56</v>
      </c>
      <c r="BP43" t="s">
        <v>41</v>
      </c>
      <c r="BR43">
        <f>692</f>
        <v>692</v>
      </c>
      <c r="BS43">
        <f>673</f>
        <v>673</v>
      </c>
      <c r="BT43">
        <f>1581</f>
        <v>1581</v>
      </c>
      <c r="BU43">
        <f>1675</f>
        <v>1675</v>
      </c>
      <c r="BV43">
        <f>1684</f>
        <v>1684</v>
      </c>
    </row>
    <row r="44" spans="7:74">
      <c r="G44" s="3" t="s">
        <v>357</v>
      </c>
      <c r="H44" s="3">
        <v>1.1000000000000001</v>
      </c>
      <c r="I44" s="3">
        <v>1.18</v>
      </c>
      <c r="J44" s="3">
        <v>0.85</v>
      </c>
      <c r="K44" s="3">
        <v>0.85</v>
      </c>
      <c r="L44" s="3">
        <v>1</v>
      </c>
      <c r="M44" s="94">
        <v>0.82</v>
      </c>
      <c r="N44" s="3"/>
      <c r="O44" s="158">
        <f>AVERAGE(H44:M44)</f>
        <v>0.96666666666666679</v>
      </c>
      <c r="U44" t="s">
        <v>36</v>
      </c>
      <c r="V44">
        <f t="shared" ref="V44:AA44" si="68">V37-V42</f>
        <v>-314.40000000000009</v>
      </c>
      <c r="W44">
        <f t="shared" si="68"/>
        <v>-2553</v>
      </c>
      <c r="X44">
        <f t="shared" si="68"/>
        <v>-3872.1400000000003</v>
      </c>
      <c r="Y44">
        <f t="shared" si="68"/>
        <v>-1259.42</v>
      </c>
      <c r="Z44">
        <f t="shared" si="68"/>
        <v>2989.6399999999994</v>
      </c>
      <c r="AA44">
        <f t="shared" si="68"/>
        <v>-2302.08</v>
      </c>
      <c r="AM44" t="s">
        <v>232</v>
      </c>
      <c r="AN44" s="22">
        <f t="shared" ref="AN44:AT44" si="69">AN42+AN43</f>
        <v>2442.3089998210771</v>
      </c>
      <c r="AO44" s="22">
        <f t="shared" si="69"/>
        <v>1973.7627613596542</v>
      </c>
      <c r="AP44" s="22">
        <f t="shared" si="69"/>
        <v>2559.1756812722606</v>
      </c>
      <c r="AQ44" s="22">
        <f t="shared" si="69"/>
        <v>1224.8533423135209</v>
      </c>
      <c r="AR44" s="22">
        <f t="shared" si="69"/>
        <v>1021.6210235131397</v>
      </c>
      <c r="AS44" s="22">
        <f t="shared" si="69"/>
        <v>1256.0170087976539</v>
      </c>
      <c r="AT44" s="22">
        <f t="shared" si="69"/>
        <v>949.93554935295606</v>
      </c>
      <c r="BP44" t="s">
        <v>42</v>
      </c>
      <c r="BR44">
        <f>470</f>
        <v>470</v>
      </c>
      <c r="BS44">
        <v>0</v>
      </c>
      <c r="BT44">
        <v>0</v>
      </c>
      <c r="BU44">
        <f>3902</f>
        <v>3902</v>
      </c>
      <c r="BV44">
        <f>0</f>
        <v>0</v>
      </c>
    </row>
    <row r="45" spans="7:74">
      <c r="U45" t="s">
        <v>46</v>
      </c>
      <c r="V45">
        <v>14272</v>
      </c>
      <c r="W45">
        <f>19264</f>
        <v>19264</v>
      </c>
      <c r="X45">
        <f>24982</f>
        <v>24982</v>
      </c>
      <c r="Y45">
        <f>30274</f>
        <v>30274</v>
      </c>
      <c r="Z45">
        <f>36528</f>
        <v>36528</v>
      </c>
      <c r="AA45">
        <f>44111</f>
        <v>44111</v>
      </c>
      <c r="AM45" s="33" t="s">
        <v>233</v>
      </c>
      <c r="AN45" s="102">
        <f t="shared" ref="AN45:AT45" si="70">(-AN44)/AN40</f>
        <v>-0.21947420918593433</v>
      </c>
      <c r="AO45" s="102">
        <f t="shared" si="70"/>
        <v>-0.23084944577305896</v>
      </c>
      <c r="AP45" s="102">
        <f t="shared" si="70"/>
        <v>-0.2122212191120541</v>
      </c>
      <c r="AQ45" s="102">
        <f t="shared" si="70"/>
        <v>-0.20648235709937979</v>
      </c>
      <c r="AR45" s="102">
        <f t="shared" si="70"/>
        <v>-0.23681525811616588</v>
      </c>
      <c r="AS45" s="102">
        <f t="shared" si="70"/>
        <v>-0.2454596460421446</v>
      </c>
      <c r="AT45" s="102">
        <f t="shared" si="70"/>
        <v>-0.23945942761607161</v>
      </c>
      <c r="BP45" t="s">
        <v>43</v>
      </c>
      <c r="BR45">
        <f>10889</f>
        <v>10889</v>
      </c>
      <c r="BS45">
        <f>7733</f>
        <v>7733</v>
      </c>
      <c r="BT45">
        <f>6355</f>
        <v>6355</v>
      </c>
      <c r="BU45">
        <f>6371</f>
        <v>6371</v>
      </c>
      <c r="BV45">
        <f>6363</f>
        <v>6363</v>
      </c>
    </row>
    <row r="46" spans="7:74" ht="15" thickBot="1">
      <c r="U46" t="s">
        <v>47</v>
      </c>
      <c r="V46">
        <f>0</f>
        <v>0</v>
      </c>
      <c r="W46">
        <v>0</v>
      </c>
      <c r="X46">
        <v>0</v>
      </c>
      <c r="Y46">
        <v>0</v>
      </c>
      <c r="Z46">
        <v>0</v>
      </c>
      <c r="AA46">
        <v>0</v>
      </c>
      <c r="AM46" s="31" t="s">
        <v>66</v>
      </c>
      <c r="AN46" s="68">
        <f t="shared" ref="AN46:AT46" si="71">AN40+AN44</f>
        <v>13570.308999821078</v>
      </c>
      <c r="AO46" s="68">
        <f t="shared" si="71"/>
        <v>10523.762761359654</v>
      </c>
      <c r="AP46" s="68">
        <f t="shared" si="71"/>
        <v>14618.17568127226</v>
      </c>
      <c r="AQ46" s="68">
        <f t="shared" si="71"/>
        <v>7156.8533423135214</v>
      </c>
      <c r="AR46" s="68">
        <f t="shared" si="71"/>
        <v>5335.6210235131393</v>
      </c>
      <c r="AS46" s="68">
        <f t="shared" si="71"/>
        <v>6373.0170087976539</v>
      </c>
      <c r="AT46" s="68">
        <f t="shared" si="71"/>
        <v>4916.9355493529565</v>
      </c>
      <c r="BF46" t="s">
        <v>350</v>
      </c>
      <c r="BG46">
        <v>2022</v>
      </c>
      <c r="BH46">
        <v>2021</v>
      </c>
      <c r="BI46">
        <v>2020</v>
      </c>
      <c r="BJ46">
        <v>2019</v>
      </c>
      <c r="BK46">
        <v>2018</v>
      </c>
      <c r="BL46">
        <v>2017</v>
      </c>
      <c r="BM46">
        <v>2016</v>
      </c>
      <c r="BP46" s="5" t="s">
        <v>44</v>
      </c>
      <c r="BQ46" s="40"/>
      <c r="BR46" s="40">
        <f>SUM(BR42:BR45)</f>
        <v>22184</v>
      </c>
      <c r="BS46" s="40">
        <f t="shared" ref="BS46:BV46" si="72">SUM(BS42:BS45)</f>
        <v>19380</v>
      </c>
      <c r="BT46" s="40">
        <f t="shared" si="72"/>
        <v>16687</v>
      </c>
      <c r="BU46" s="40">
        <f t="shared" si="72"/>
        <v>22782</v>
      </c>
      <c r="BV46" s="40">
        <f t="shared" si="72"/>
        <v>15914</v>
      </c>
    </row>
    <row r="47" spans="7:74" ht="16.2" thickBot="1">
      <c r="U47" s="5" t="s">
        <v>48</v>
      </c>
      <c r="V47" s="23">
        <f t="shared" ref="V47:AA47" si="73">V44+V45</f>
        <v>13957.6</v>
      </c>
      <c r="W47" s="23">
        <f t="shared" si="73"/>
        <v>16711</v>
      </c>
      <c r="X47" s="23">
        <f t="shared" si="73"/>
        <v>21109.86</v>
      </c>
      <c r="Y47" s="23">
        <f t="shared" si="73"/>
        <v>29014.58</v>
      </c>
      <c r="Z47" s="23">
        <f t="shared" si="73"/>
        <v>39517.64</v>
      </c>
      <c r="AA47" s="23">
        <f t="shared" si="73"/>
        <v>41808.92</v>
      </c>
      <c r="AM47" t="s">
        <v>235</v>
      </c>
      <c r="AN47" s="101">
        <v>-64</v>
      </c>
      <c r="AO47" s="101">
        <v>-46</v>
      </c>
      <c r="AP47" s="101">
        <v>-53</v>
      </c>
      <c r="AQ47" s="101">
        <v>-36</v>
      </c>
      <c r="AR47" s="101">
        <v>-8</v>
      </c>
      <c r="AS47" s="101">
        <v>-19</v>
      </c>
      <c r="AT47" s="101">
        <v>-43</v>
      </c>
      <c r="BG47" s="97">
        <f t="shared" ref="BG47:BL47" si="74">(AN46)/((BH41+BG41)/2)</f>
        <v>17.359552013279785</v>
      </c>
      <c r="BH47" s="97">
        <f t="shared" si="74"/>
        <v>1.6794917940772252</v>
      </c>
      <c r="BI47" s="97">
        <f t="shared" si="74"/>
        <v>2.1293618664499547</v>
      </c>
      <c r="BJ47" s="97">
        <f t="shared" si="74"/>
        <v>3.9631932919009651</v>
      </c>
      <c r="BK47" s="97">
        <f t="shared" si="74"/>
        <v>-223.71576618503815</v>
      </c>
      <c r="BL47" s="97">
        <f t="shared" si="74"/>
        <v>-7.2608770550946247</v>
      </c>
      <c r="BM47" s="97" t="s">
        <v>360</v>
      </c>
    </row>
    <row r="48" spans="7:74" ht="15.6">
      <c r="AM48" t="s">
        <v>236</v>
      </c>
      <c r="AN48" s="101">
        <v>116</v>
      </c>
      <c r="AO48" s="101">
        <v>58</v>
      </c>
      <c r="AP48" s="101">
        <v>68</v>
      </c>
      <c r="AQ48" s="101">
        <v>45</v>
      </c>
      <c r="AR48" s="101">
        <v>32</v>
      </c>
      <c r="AS48" s="101">
        <v>15</v>
      </c>
      <c r="AT48" s="101">
        <v>18</v>
      </c>
      <c r="BP48" s="25" t="s">
        <v>36</v>
      </c>
    </row>
    <row r="49" spans="7:68">
      <c r="U49" s="3" t="s">
        <v>361</v>
      </c>
      <c r="V49" s="3">
        <v>2016</v>
      </c>
      <c r="W49" s="3">
        <v>2017</v>
      </c>
      <c r="X49" s="3">
        <v>2018</v>
      </c>
      <c r="Y49" s="3">
        <v>2019</v>
      </c>
      <c r="Z49" s="3">
        <v>2020</v>
      </c>
      <c r="AA49" s="3">
        <v>2021</v>
      </c>
      <c r="AM49" t="s">
        <v>237</v>
      </c>
      <c r="AN49" s="22">
        <f t="shared" ref="AN49:AT49" si="75">-AW34*(AN47+AN48)</f>
        <v>-11.308999821077116</v>
      </c>
      <c r="AO49" s="22">
        <f t="shared" si="75"/>
        <v>-2.7627613596542462</v>
      </c>
      <c r="AP49" s="22">
        <f t="shared" si="75"/>
        <v>-3.175681272260416</v>
      </c>
      <c r="AQ49" s="22">
        <f t="shared" si="75"/>
        <v>-1.8533423135207947</v>
      </c>
      <c r="AR49" s="22">
        <f t="shared" si="75"/>
        <v>-5.6210235131396953</v>
      </c>
      <c r="AS49" s="22">
        <f t="shared" si="75"/>
        <v>0.98299120234604109</v>
      </c>
      <c r="AT49" s="22">
        <f t="shared" si="75"/>
        <v>6.0644506470438975</v>
      </c>
      <c r="BF49" t="s">
        <v>36</v>
      </c>
      <c r="BG49" s="22">
        <f t="shared" ref="BG49:BM49" si="76">BG41</f>
        <v>616.10000000000036</v>
      </c>
      <c r="BH49" s="22">
        <f t="shared" si="76"/>
        <v>947.34000000000015</v>
      </c>
      <c r="BI49" s="22">
        <f t="shared" si="76"/>
        <v>11584.739999999998</v>
      </c>
      <c r="BJ49" s="22">
        <f t="shared" si="76"/>
        <v>2145.3600000000006</v>
      </c>
      <c r="BK49" s="22">
        <f t="shared" si="76"/>
        <v>1466.3000000000002</v>
      </c>
      <c r="BL49" s="22">
        <f t="shared" si="76"/>
        <v>-1514</v>
      </c>
      <c r="BM49" s="22">
        <f t="shared" si="76"/>
        <v>-241.44000000000005</v>
      </c>
      <c r="BP49" s="25" t="s">
        <v>46</v>
      </c>
    </row>
    <row r="50" spans="7:68" ht="15" thickBot="1">
      <c r="U50" s="3" t="s">
        <v>48</v>
      </c>
      <c r="V50" s="42">
        <f t="shared" ref="V50:AA50" si="77">V47</f>
        <v>13957.6</v>
      </c>
      <c r="W50" s="42">
        <f t="shared" si="77"/>
        <v>16711</v>
      </c>
      <c r="X50" s="42">
        <f t="shared" si="77"/>
        <v>21109.86</v>
      </c>
      <c r="Y50" s="42">
        <f t="shared" si="77"/>
        <v>29014.58</v>
      </c>
      <c r="Z50" s="42">
        <f t="shared" si="77"/>
        <v>39517.64</v>
      </c>
      <c r="AA50" s="42">
        <f t="shared" si="77"/>
        <v>41808.92</v>
      </c>
      <c r="AM50" s="5" t="s">
        <v>238</v>
      </c>
      <c r="AN50" s="23">
        <f t="shared" ref="AN50:AT50" si="78">AN46+AN47+AN48+AN49</f>
        <v>13611.000000000002</v>
      </c>
      <c r="AO50" s="23">
        <f t="shared" si="78"/>
        <v>10533</v>
      </c>
      <c r="AP50" s="23">
        <f t="shared" si="78"/>
        <v>14630</v>
      </c>
      <c r="AQ50" s="23">
        <f t="shared" si="78"/>
        <v>7164.0000000000009</v>
      </c>
      <c r="AR50" s="23">
        <f t="shared" si="78"/>
        <v>5354</v>
      </c>
      <c r="AS50" s="23">
        <f t="shared" si="78"/>
        <v>6370</v>
      </c>
      <c r="AT50" s="23">
        <f t="shared" si="78"/>
        <v>4898</v>
      </c>
      <c r="BF50" t="s">
        <v>46</v>
      </c>
      <c r="BG50" s="107">
        <v>1688</v>
      </c>
      <c r="BH50" s="106">
        <v>1978</v>
      </c>
      <c r="BI50" s="106">
        <v>2212</v>
      </c>
      <c r="BJ50" s="107">
        <v>2746</v>
      </c>
      <c r="BK50" s="107">
        <v>2213</v>
      </c>
      <c r="BL50" s="107">
        <v>1768</v>
      </c>
      <c r="BM50" s="107">
        <v>1739</v>
      </c>
      <c r="BP50" s="25" t="s">
        <v>48</v>
      </c>
    </row>
    <row r="51" spans="7:68">
      <c r="U51" s="3" t="s">
        <v>66</v>
      </c>
      <c r="V51" s="42">
        <f t="shared" ref="V51:AA51" si="79">V20</f>
        <v>2238.9229457892943</v>
      </c>
      <c r="W51" s="42">
        <f t="shared" si="79"/>
        <v>1022.9884437596302</v>
      </c>
      <c r="X51" s="42">
        <f t="shared" si="79"/>
        <v>621.50928792569664</v>
      </c>
      <c r="Y51" s="42">
        <f t="shared" si="79"/>
        <v>4506.7723332743681</v>
      </c>
      <c r="Z51" s="42">
        <f t="shared" si="79"/>
        <v>6378.0920455938231</v>
      </c>
      <c r="AA51" s="42">
        <f t="shared" si="79"/>
        <v>7682.9012258129878</v>
      </c>
      <c r="BF51" s="11" t="s">
        <v>362</v>
      </c>
      <c r="BG51" s="110">
        <f t="shared" ref="BG51:BM51" si="80">BG49+BG50</f>
        <v>2304.1000000000004</v>
      </c>
      <c r="BH51" s="110">
        <f t="shared" si="80"/>
        <v>2925.34</v>
      </c>
      <c r="BI51" s="110">
        <f t="shared" si="80"/>
        <v>13796.739999999998</v>
      </c>
      <c r="BJ51" s="110">
        <f t="shared" si="80"/>
        <v>4891.3600000000006</v>
      </c>
      <c r="BK51" s="110">
        <f t="shared" si="80"/>
        <v>3679.3</v>
      </c>
      <c r="BL51" s="110">
        <f t="shared" si="80"/>
        <v>254</v>
      </c>
      <c r="BM51" s="110">
        <f t="shared" si="80"/>
        <v>1497.56</v>
      </c>
    </row>
    <row r="52" spans="7:68">
      <c r="S52" t="s">
        <v>478</v>
      </c>
      <c r="U52" s="25" t="s">
        <v>350</v>
      </c>
      <c r="V52" s="25"/>
      <c r="W52" s="44">
        <f>(W51)/((W50+V50)/2)</f>
        <v>6.6712431852750387E-2</v>
      </c>
      <c r="X52" s="44">
        <f>(X51)/((X50+W50)/2)</f>
        <v>3.2865952171669106E-2</v>
      </c>
      <c r="Y52" s="44">
        <f>(Y51)/((Y50+X50)/2)</f>
        <v>0.17982334898003322</v>
      </c>
      <c r="Z52" s="44">
        <f>(Z51)/((Z50+Y50)/2)</f>
        <v>0.18613411459876311</v>
      </c>
      <c r="AA52" s="44">
        <f>(AA51)/((AA50+Z50)/2)</f>
        <v>0.18893953527145346</v>
      </c>
    </row>
    <row r="53" spans="7:68">
      <c r="V53" s="35">
        <f>V51/V50</f>
        <v>0.16040887729905531</v>
      </c>
      <c r="W53" s="35">
        <f t="shared" ref="W53:AA53" si="81">W51/W50</f>
        <v>6.1216470813214657E-2</v>
      </c>
      <c r="X53" s="35">
        <f t="shared" si="81"/>
        <v>2.9441658444238693E-2</v>
      </c>
      <c r="Y53" s="35">
        <f t="shared" si="81"/>
        <v>0.15532785011102582</v>
      </c>
      <c r="Z53" s="35">
        <f t="shared" si="81"/>
        <v>0.16139860694094646</v>
      </c>
      <c r="AA53" s="35">
        <f t="shared" si="81"/>
        <v>0.18376225039568084</v>
      </c>
      <c r="AB53" s="129">
        <f>AVERAGE(V53:AA53)</f>
        <v>0.1252592856673603</v>
      </c>
    </row>
    <row r="55" spans="7:68" ht="33.6">
      <c r="U55" s="3"/>
      <c r="V55" s="25">
        <v>2017</v>
      </c>
      <c r="W55" s="25">
        <v>2018</v>
      </c>
      <c r="X55" s="25">
        <v>2019</v>
      </c>
      <c r="Y55" s="25">
        <v>2020</v>
      </c>
      <c r="Z55" s="25">
        <v>2021</v>
      </c>
      <c r="AA55">
        <f>2022</f>
        <v>2022</v>
      </c>
      <c r="BI55" s="111"/>
      <c r="BJ55" s="112"/>
    </row>
    <row r="56" spans="7:68">
      <c r="U56" s="25" t="s">
        <v>363</v>
      </c>
      <c r="V56" s="26">
        <f>Lønnsomhetsanalyse!D9</f>
        <v>7.3511228717119861E-2</v>
      </c>
      <c r="W56" s="26">
        <f>Lønnsomhetsanalyse!E9</f>
        <v>7.1213076787347923E-2</v>
      </c>
      <c r="X56" s="26">
        <f>Lønnsomhetsanalyse!F9</f>
        <v>0.10584434359630848</v>
      </c>
      <c r="Y56" s="26">
        <f>Lønnsomhetsanalyse!G9</f>
        <v>0.13157578272072204</v>
      </c>
      <c r="Z56" s="26">
        <f>Lønnsomhetsanalyse!H9</f>
        <v>3.3584776524240606E-2</v>
      </c>
      <c r="AA56" s="26">
        <f>Lønnsomhetsanalyse!I9</f>
        <v>6.3477853379180577E-2</v>
      </c>
      <c r="AB56" s="134">
        <f>AVERAGE(V56:AA56)</f>
        <v>7.9867843620819903E-2</v>
      </c>
    </row>
    <row r="57" spans="7:68" ht="15.6">
      <c r="U57" s="25" t="s">
        <v>364</v>
      </c>
      <c r="V57" s="26">
        <f>W52</f>
        <v>6.6712431852750387E-2</v>
      </c>
      <c r="W57" s="26">
        <f>X52</f>
        <v>3.2865952171669106E-2</v>
      </c>
      <c r="X57" s="26">
        <f>Y52</f>
        <v>0.17982334898003322</v>
      </c>
      <c r="Y57" s="26">
        <f>Z52</f>
        <v>0.18613411459876311</v>
      </c>
      <c r="Z57" s="26">
        <f>AA52</f>
        <v>0.18893953527145346</v>
      </c>
      <c r="AB57" s="134">
        <f>AVERAGE(V57:Z57)</f>
        <v>0.13089507657493385</v>
      </c>
      <c r="AM57" s="572" t="s">
        <v>217</v>
      </c>
      <c r="AN57" s="572"/>
      <c r="AO57" s="572"/>
      <c r="AP57" s="572"/>
      <c r="AQ57" s="572"/>
      <c r="AR57" s="572"/>
      <c r="AS57" s="572"/>
      <c r="AT57" s="114"/>
    </row>
    <row r="58" spans="7:68" ht="15" thickBot="1">
      <c r="AM58" s="12" t="s">
        <v>218</v>
      </c>
      <c r="AN58" s="12">
        <v>2021</v>
      </c>
      <c r="AO58" s="12">
        <v>2020</v>
      </c>
      <c r="AP58" s="12">
        <v>2019</v>
      </c>
      <c r="AQ58" s="12">
        <v>2018</v>
      </c>
      <c r="AR58" s="12">
        <v>2017</v>
      </c>
      <c r="AS58" s="12">
        <v>2016</v>
      </c>
      <c r="AT58" s="115"/>
    </row>
    <row r="59" spans="7:68" ht="15.6">
      <c r="AM59" s="38" t="s">
        <v>220</v>
      </c>
      <c r="AN59" s="108">
        <v>127544</v>
      </c>
      <c r="AO59" s="109">
        <v>125693</v>
      </c>
      <c r="AP59" s="108">
        <v>119118</v>
      </c>
      <c r="AQ59" s="109">
        <v>127334</v>
      </c>
      <c r="AR59" s="108">
        <v>122356</v>
      </c>
      <c r="AS59" s="121">
        <v>116559</v>
      </c>
      <c r="AT59" s="113"/>
    </row>
    <row r="60" spans="7:68">
      <c r="U60" s="3" t="s">
        <v>291</v>
      </c>
      <c r="V60" s="3">
        <v>2016</v>
      </c>
      <c r="W60" s="3">
        <v>2017</v>
      </c>
      <c r="X60" s="3">
        <v>2018</v>
      </c>
      <c r="Y60" s="3">
        <v>2019</v>
      </c>
      <c r="Z60" s="3">
        <v>2020</v>
      </c>
      <c r="AA60" s="3">
        <v>2021</v>
      </c>
      <c r="AM60" s="38" t="s">
        <v>189</v>
      </c>
      <c r="AT60" s="116"/>
    </row>
    <row r="61" spans="7:68" ht="15.6">
      <c r="U61" s="3" t="s">
        <v>365</v>
      </c>
      <c r="V61" s="3">
        <f t="shared" ref="V61:AA61" si="82">V6</f>
        <v>18480</v>
      </c>
      <c r="W61" s="3">
        <f t="shared" si="82"/>
        <v>21373</v>
      </c>
      <c r="X61" s="3">
        <f t="shared" si="82"/>
        <v>23643</v>
      </c>
      <c r="Y61" s="3">
        <f t="shared" si="82"/>
        <v>45629</v>
      </c>
      <c r="Z61" s="3">
        <f t="shared" si="82"/>
        <v>50582</v>
      </c>
      <c r="AA61" s="3">
        <f t="shared" si="82"/>
        <v>69446</v>
      </c>
      <c r="AM61" t="s">
        <v>223</v>
      </c>
      <c r="AN61" s="108">
        <v>2671</v>
      </c>
      <c r="AO61" s="109">
        <v>2838</v>
      </c>
      <c r="AP61" s="108">
        <v>4260</v>
      </c>
      <c r="AQ61" s="109">
        <v>5170</v>
      </c>
      <c r="AR61" s="108">
        <v>9192</v>
      </c>
      <c r="AS61" s="122">
        <v>7528</v>
      </c>
      <c r="AT61" s="113"/>
      <c r="AW61">
        <v>2021</v>
      </c>
      <c r="AX61">
        <v>2020</v>
      </c>
      <c r="AY61">
        <v>2019</v>
      </c>
      <c r="AZ61">
        <v>2018</v>
      </c>
      <c r="BA61">
        <v>2017</v>
      </c>
      <c r="BB61">
        <v>2016</v>
      </c>
    </row>
    <row r="62" spans="7:68" ht="15.6">
      <c r="G62" t="s">
        <v>366</v>
      </c>
      <c r="U62" s="3" t="s">
        <v>48</v>
      </c>
      <c r="V62" s="42">
        <f t="shared" ref="V62:AA62" si="83">V47</f>
        <v>13957.6</v>
      </c>
      <c r="W62" s="42">
        <f t="shared" si="83"/>
        <v>16711</v>
      </c>
      <c r="X62" s="42">
        <f t="shared" si="83"/>
        <v>21109.86</v>
      </c>
      <c r="Y62" s="42">
        <f t="shared" si="83"/>
        <v>29014.58</v>
      </c>
      <c r="Z62" s="42">
        <f t="shared" si="83"/>
        <v>39517.64</v>
      </c>
      <c r="AA62" s="42">
        <f t="shared" si="83"/>
        <v>41808.92</v>
      </c>
      <c r="AM62" t="s">
        <v>50</v>
      </c>
      <c r="AN62" s="108">
        <v>35410</v>
      </c>
      <c r="AO62" s="109">
        <v>32041</v>
      </c>
      <c r="AP62" s="108">
        <v>36731</v>
      </c>
      <c r="AQ62" s="109">
        <v>41601</v>
      </c>
      <c r="AR62" s="108">
        <v>43816</v>
      </c>
      <c r="AS62">
        <v>40047</v>
      </c>
      <c r="AT62" s="113"/>
      <c r="AV62" s="3" t="s">
        <v>219</v>
      </c>
      <c r="AW62" s="123">
        <v>-1119</v>
      </c>
      <c r="AX62" s="107">
        <v>18057</v>
      </c>
      <c r="AY62" s="107">
        <v>328</v>
      </c>
      <c r="AZ62" s="107">
        <v>-305</v>
      </c>
      <c r="BA62" s="107">
        <v>2819</v>
      </c>
      <c r="BB62" s="107">
        <v>6626</v>
      </c>
      <c r="BC62" s="100"/>
    </row>
    <row r="63" spans="7:68" ht="16.2" thickBot="1">
      <c r="U63" s="25" t="s">
        <v>367</v>
      </c>
      <c r="V63" s="75">
        <f>V61/V62</f>
        <v>1.324009858428383</v>
      </c>
      <c r="W63" s="75">
        <f t="shared" ref="W63:AA63" si="84">W61/W62</f>
        <v>1.2789779187361618</v>
      </c>
      <c r="X63" s="75">
        <f t="shared" si="84"/>
        <v>1.1199979535629321</v>
      </c>
      <c r="Y63" s="75">
        <f t="shared" si="84"/>
        <v>1.5726231432610775</v>
      </c>
      <c r="Z63" s="75">
        <f t="shared" si="84"/>
        <v>1.2799853432543036</v>
      </c>
      <c r="AA63" s="75">
        <f t="shared" si="84"/>
        <v>1.6610331001135643</v>
      </c>
      <c r="AM63" s="31" t="s">
        <v>224</v>
      </c>
      <c r="AN63" s="68">
        <f t="shared" ref="AN63:AS63" si="85">AN59+AN61-AN62</f>
        <v>94805</v>
      </c>
      <c r="AO63" s="68">
        <f t="shared" si="85"/>
        <v>96490</v>
      </c>
      <c r="AP63" s="68">
        <f t="shared" si="85"/>
        <v>86647</v>
      </c>
      <c r="AQ63" s="68">
        <f t="shared" si="85"/>
        <v>90903</v>
      </c>
      <c r="AR63" s="68">
        <f t="shared" si="85"/>
        <v>87732</v>
      </c>
      <c r="AS63" s="68">
        <f t="shared" si="85"/>
        <v>84040</v>
      </c>
      <c r="AT63" s="117"/>
      <c r="AV63" s="3" t="s">
        <v>221</v>
      </c>
      <c r="AW63" s="122">
        <v>-246</v>
      </c>
      <c r="AX63" s="109">
        <v>3973</v>
      </c>
      <c r="AY63" s="108">
        <v>72</v>
      </c>
      <c r="AZ63" s="109">
        <v>-74</v>
      </c>
      <c r="BA63" s="108">
        <v>670</v>
      </c>
      <c r="BB63" s="109">
        <v>1657</v>
      </c>
      <c r="BC63" s="100"/>
    </row>
    <row r="64" spans="7:68">
      <c r="G64" s="76" t="s">
        <v>336</v>
      </c>
      <c r="H64" s="76">
        <v>2016</v>
      </c>
      <c r="I64" s="76">
        <v>2017</v>
      </c>
      <c r="J64" s="76">
        <v>2018</v>
      </c>
      <c r="K64" s="76">
        <v>2019</v>
      </c>
      <c r="L64" s="76">
        <v>2020</v>
      </c>
      <c r="M64" s="76">
        <v>2021</v>
      </c>
      <c r="V64" s="1"/>
      <c r="W64" s="1"/>
      <c r="X64" s="1"/>
      <c r="Y64" s="1"/>
      <c r="Z64" s="1"/>
      <c r="AA64" s="1"/>
      <c r="AB64" s="1"/>
      <c r="AM64" s="33" t="s">
        <v>23</v>
      </c>
      <c r="AN64" s="104">
        <f t="shared" ref="AN64:AS64" si="86">AN63/AN59</f>
        <v>0.74331211189863888</v>
      </c>
      <c r="AO64" s="104">
        <f t="shared" si="86"/>
        <v>0.76766407039373707</v>
      </c>
      <c r="AP64" s="104">
        <f t="shared" si="86"/>
        <v>0.727404758306889</v>
      </c>
      <c r="AQ64" s="104">
        <f t="shared" si="86"/>
        <v>0.71389416809336081</v>
      </c>
      <c r="AR64" s="104">
        <f t="shared" si="86"/>
        <v>0.71702245905390827</v>
      </c>
      <c r="AS64" s="104">
        <f t="shared" si="86"/>
        <v>0.72100824475158498</v>
      </c>
      <c r="AT64" s="118"/>
      <c r="AV64" s="3" t="s">
        <v>222</v>
      </c>
      <c r="AW64" s="1">
        <f t="shared" ref="AW64:BB64" si="87">AW63/AW62</f>
        <v>0.21983914209115282</v>
      </c>
      <c r="AX64" s="1">
        <f t="shared" si="87"/>
        <v>0.22002547488508611</v>
      </c>
      <c r="AY64" s="1">
        <f t="shared" si="87"/>
        <v>0.21951219512195122</v>
      </c>
      <c r="AZ64" s="1">
        <f t="shared" si="87"/>
        <v>0.24262295081967214</v>
      </c>
      <c r="BA64" s="1">
        <f t="shared" si="87"/>
        <v>0.23767293366441999</v>
      </c>
      <c r="BB64" s="1">
        <f t="shared" si="87"/>
        <v>0.25007546030787808</v>
      </c>
      <c r="BC64" s="1"/>
    </row>
    <row r="65" spans="7:62" ht="15.6">
      <c r="G65" t="s">
        <v>220</v>
      </c>
      <c r="H65">
        <f>Vekstanalyse!C24</f>
        <v>49477</v>
      </c>
      <c r="I65">
        <f>Vekstanalyse!D24</f>
        <v>48988</v>
      </c>
      <c r="J65">
        <f>Vekstanalyse!E24</f>
        <v>56947</v>
      </c>
      <c r="K65">
        <f>Vekstanalyse!F24</f>
        <v>61985</v>
      </c>
      <c r="L65">
        <f>Vekstanalyse!G24</f>
        <v>71768</v>
      </c>
      <c r="M65">
        <f>Vekstanalyse!H24</f>
        <v>90282</v>
      </c>
      <c r="AM65" t="s">
        <v>226</v>
      </c>
      <c r="AN65" s="108">
        <v>39141</v>
      </c>
      <c r="AO65" s="109">
        <v>35727</v>
      </c>
      <c r="AP65" s="108">
        <v>34825</v>
      </c>
      <c r="AQ65" s="109">
        <v>35768</v>
      </c>
      <c r="AR65" s="108">
        <v>35180</v>
      </c>
      <c r="AS65" s="122">
        <v>33993</v>
      </c>
      <c r="AT65" s="113"/>
    </row>
    <row r="66" spans="7:62" ht="15.6">
      <c r="G66" t="s">
        <v>342</v>
      </c>
      <c r="H66">
        <v>2164</v>
      </c>
      <c r="I66">
        <v>2036</v>
      </c>
      <c r="J66">
        <v>1821</v>
      </c>
      <c r="K66">
        <v>1772</v>
      </c>
      <c r="L66">
        <v>2800</v>
      </c>
      <c r="M66">
        <v>1879</v>
      </c>
      <c r="U66" s="3"/>
      <c r="V66" s="3">
        <v>2016</v>
      </c>
      <c r="W66" s="3">
        <v>2017</v>
      </c>
      <c r="X66" s="3">
        <v>2018</v>
      </c>
      <c r="Y66" s="3">
        <v>2019</v>
      </c>
      <c r="Z66" s="3">
        <v>2020</v>
      </c>
      <c r="AA66" s="3">
        <v>2021</v>
      </c>
      <c r="AM66" t="s">
        <v>227</v>
      </c>
      <c r="AN66" s="108">
        <v>53091</v>
      </c>
      <c r="AO66" s="109">
        <v>42230</v>
      </c>
      <c r="AP66" s="108">
        <v>50038</v>
      </c>
      <c r="AQ66" s="109">
        <v>52737</v>
      </c>
      <c r="AR66" s="108">
        <v>46692</v>
      </c>
      <c r="AS66" s="122">
        <v>44163</v>
      </c>
      <c r="AT66" s="113"/>
      <c r="BE66">
        <v>2016</v>
      </c>
      <c r="BF66">
        <v>2017</v>
      </c>
      <c r="BG66">
        <v>2018</v>
      </c>
      <c r="BH66">
        <v>2019</v>
      </c>
      <c r="BI66">
        <v>2020</v>
      </c>
      <c r="BJ66">
        <v>2021</v>
      </c>
    </row>
    <row r="67" spans="7:62">
      <c r="G67" t="s">
        <v>50</v>
      </c>
      <c r="H67">
        <f>Vekstanalyse!C28</f>
        <v>17243</v>
      </c>
      <c r="I67">
        <f>Vekstanalyse!D28</f>
        <v>15972</v>
      </c>
      <c r="J67">
        <f>Vekstanalyse!E28</f>
        <v>17424</v>
      </c>
      <c r="K67">
        <f>Vekstanalyse!F28</f>
        <v>19296</v>
      </c>
      <c r="L67">
        <f>Vekstanalyse!G28</f>
        <v>23149</v>
      </c>
      <c r="M67">
        <f>Vekstanalyse!H28</f>
        <v>19296</v>
      </c>
      <c r="U67" s="3" t="s">
        <v>368</v>
      </c>
      <c r="V67" s="59">
        <f>Lønnsomhetsanalyse!C33</f>
        <v>0.74573799218526082</v>
      </c>
      <c r="W67" s="59">
        <f>Lønnsomhetsanalyse!D33</f>
        <v>0.85704519791253397</v>
      </c>
      <c r="X67" s="59">
        <f>Lønnsomhetsanalyse!E33</f>
        <v>0.84577788075633198</v>
      </c>
      <c r="Y67" s="59">
        <f>Lønnsomhetsanalyse!F33</f>
        <v>1.0517169088579812</v>
      </c>
      <c r="Z67" s="59">
        <f>Lønnsomhetsanalyse!G33</f>
        <v>0.89979109335872332</v>
      </c>
      <c r="AA67" s="59">
        <f>Lønnsomhetsanalyse!H33</f>
        <v>0.80665568882919647</v>
      </c>
      <c r="AM67" s="28" t="s">
        <v>162</v>
      </c>
      <c r="AN67" s="22">
        <f t="shared" ref="AN67:AS67" si="88">AN63-AN65-AN66</f>
        <v>2573</v>
      </c>
      <c r="AO67" s="22">
        <f t="shared" si="88"/>
        <v>18533</v>
      </c>
      <c r="AP67" s="22">
        <f t="shared" si="88"/>
        <v>1784</v>
      </c>
      <c r="AQ67" s="22">
        <f t="shared" si="88"/>
        <v>2398</v>
      </c>
      <c r="AR67" s="22">
        <f t="shared" si="88"/>
        <v>5860</v>
      </c>
      <c r="AS67" s="22">
        <f t="shared" si="88"/>
        <v>5884</v>
      </c>
      <c r="AT67" s="116"/>
      <c r="AV67" t="s">
        <v>369</v>
      </c>
      <c r="AW67">
        <v>2016</v>
      </c>
      <c r="AX67">
        <v>2017</v>
      </c>
      <c r="AY67">
        <v>2018</v>
      </c>
      <c r="AZ67">
        <v>2019</v>
      </c>
      <c r="BA67">
        <v>2020</v>
      </c>
      <c r="BB67">
        <v>2021</v>
      </c>
      <c r="BD67" t="s">
        <v>219</v>
      </c>
      <c r="BE67">
        <f t="shared" ref="BE67:BJ67" si="89">AW77</f>
        <v>4401</v>
      </c>
      <c r="BF67">
        <f t="shared" si="89"/>
        <v>2579</v>
      </c>
      <c r="BG67">
        <f t="shared" si="89"/>
        <v>-520</v>
      </c>
      <c r="BH67">
        <f t="shared" si="89"/>
        <v>134</v>
      </c>
      <c r="BI67">
        <f t="shared" si="89"/>
        <v>18125</v>
      </c>
      <c r="BJ67">
        <f t="shared" si="89"/>
        <v>-1049</v>
      </c>
    </row>
    <row r="68" spans="7:62" ht="15" thickBot="1">
      <c r="G68" s="5" t="s">
        <v>224</v>
      </c>
      <c r="H68" s="5">
        <f t="shared" ref="H68:M68" si="90">H65+H66-H67</f>
        <v>34398</v>
      </c>
      <c r="I68" s="5">
        <f t="shared" si="90"/>
        <v>35052</v>
      </c>
      <c r="J68" s="5">
        <f t="shared" si="90"/>
        <v>41344</v>
      </c>
      <c r="K68" s="5">
        <f t="shared" si="90"/>
        <v>44461</v>
      </c>
      <c r="L68" s="5">
        <f t="shared" si="90"/>
        <v>51419</v>
      </c>
      <c r="M68" s="5">
        <f t="shared" si="90"/>
        <v>72865</v>
      </c>
      <c r="U68" s="3" t="s">
        <v>370</v>
      </c>
      <c r="V68" s="59">
        <f t="shared" ref="V68:AA68" si="91">V63</f>
        <v>1.324009858428383</v>
      </c>
      <c r="W68" s="59">
        <f t="shared" si="91"/>
        <v>1.2789779187361618</v>
      </c>
      <c r="X68" s="59">
        <f t="shared" si="91"/>
        <v>1.1199979535629321</v>
      </c>
      <c r="Y68" s="59">
        <f t="shared" si="91"/>
        <v>1.5726231432610775</v>
      </c>
      <c r="Z68" s="59">
        <f t="shared" si="91"/>
        <v>1.2799853432543036</v>
      </c>
      <c r="AA68" s="59">
        <f t="shared" si="91"/>
        <v>1.6610331001135643</v>
      </c>
      <c r="AM68" s="29" t="s">
        <v>228</v>
      </c>
      <c r="AN68" s="103">
        <f t="shared" ref="AN68:AS68" si="92">AN67/AN59</f>
        <v>2.0173430345606223E-2</v>
      </c>
      <c r="AO68" s="103">
        <f t="shared" si="92"/>
        <v>0.14744655629191761</v>
      </c>
      <c r="AP68" s="103">
        <f t="shared" si="92"/>
        <v>1.4976745747913833E-2</v>
      </c>
      <c r="AQ68" s="103">
        <f t="shared" si="92"/>
        <v>1.8832362134229664E-2</v>
      </c>
      <c r="AR68" s="103">
        <f t="shared" si="92"/>
        <v>4.7893033443394684E-2</v>
      </c>
      <c r="AS68" s="103">
        <f t="shared" si="92"/>
        <v>5.0480872347909642E-2</v>
      </c>
      <c r="AT68" s="119"/>
      <c r="AV68" t="s">
        <v>220</v>
      </c>
      <c r="AW68">
        <f>116559</f>
        <v>116559</v>
      </c>
      <c r="AX68">
        <f>122356</f>
        <v>122356</v>
      </c>
      <c r="AY68">
        <f>127334</f>
        <v>127334</v>
      </c>
      <c r="AZ68">
        <f>119118</f>
        <v>119118</v>
      </c>
      <c r="BA68">
        <f>125693</f>
        <v>125693</v>
      </c>
      <c r="BB68">
        <f>127544</f>
        <v>127544</v>
      </c>
      <c r="BD68" t="s">
        <v>221</v>
      </c>
      <c r="BE68">
        <f>1657</f>
        <v>1657</v>
      </c>
      <c r="BF68">
        <f>670</f>
        <v>670</v>
      </c>
      <c r="BG68">
        <f>-74</f>
        <v>-74</v>
      </c>
      <c r="BH68">
        <f>72</f>
        <v>72</v>
      </c>
      <c r="BI68">
        <f>3973</f>
        <v>3973</v>
      </c>
      <c r="BJ68">
        <f>-246</f>
        <v>-246</v>
      </c>
    </row>
    <row r="69" spans="7:62">
      <c r="G69" t="s">
        <v>226</v>
      </c>
      <c r="H69">
        <v>15575</v>
      </c>
      <c r="I69">
        <v>15820</v>
      </c>
      <c r="J69">
        <v>17079</v>
      </c>
      <c r="K69">
        <v>18502</v>
      </c>
      <c r="L69">
        <v>20813</v>
      </c>
      <c r="M69">
        <v>23663</v>
      </c>
      <c r="AM69" t="s">
        <v>229</v>
      </c>
      <c r="AN69" s="107">
        <v>2382</v>
      </c>
      <c r="AO69" s="107">
        <v>1670</v>
      </c>
      <c r="AP69" s="107">
        <v>1541</v>
      </c>
      <c r="AQ69" s="107">
        <v>1768</v>
      </c>
      <c r="AR69" s="106">
        <v>1627</v>
      </c>
      <c r="AS69" s="107">
        <v>1483</v>
      </c>
      <c r="AT69" s="109"/>
      <c r="AV69" t="s">
        <v>223</v>
      </c>
      <c r="AW69">
        <f>7528</f>
        <v>7528</v>
      </c>
      <c r="AX69">
        <f>9192</f>
        <v>9192</v>
      </c>
      <c r="AY69">
        <f>5170</f>
        <v>5170</v>
      </c>
      <c r="AZ69">
        <f>4260</f>
        <v>4260</v>
      </c>
      <c r="BA69">
        <f>2838</f>
        <v>2838</v>
      </c>
      <c r="BB69">
        <f>2671</f>
        <v>2671</v>
      </c>
      <c r="BD69" t="s">
        <v>222</v>
      </c>
      <c r="BE69" s="35">
        <f>BE68/BE67</f>
        <v>0.37650533969552374</v>
      </c>
      <c r="BF69" s="35">
        <f t="shared" ref="BF69:BJ69" si="93">BF68/BF67</f>
        <v>0.25979061651803026</v>
      </c>
      <c r="BG69" s="35">
        <f t="shared" si="93"/>
        <v>0.1423076923076923</v>
      </c>
      <c r="BH69" s="35">
        <f t="shared" si="93"/>
        <v>0.53731343283582089</v>
      </c>
      <c r="BI69" s="35">
        <f t="shared" si="93"/>
        <v>0.21920000000000001</v>
      </c>
      <c r="BJ69" s="35">
        <f t="shared" si="93"/>
        <v>0.23450905624404195</v>
      </c>
    </row>
    <row r="70" spans="7:62">
      <c r="G70" t="s">
        <v>227</v>
      </c>
      <c r="H70">
        <v>13055</v>
      </c>
      <c r="I70">
        <v>15010</v>
      </c>
      <c r="J70">
        <v>17057</v>
      </c>
      <c r="K70">
        <v>16230</v>
      </c>
      <c r="L70">
        <v>19800</v>
      </c>
      <c r="M70">
        <v>29436</v>
      </c>
      <c r="O70">
        <f>_xlfn.VAR.S(H70:M70)</f>
        <v>34064215.866666652</v>
      </c>
      <c r="P70">
        <f>SQRT(O70)</f>
        <v>5836.4557624183744</v>
      </c>
      <c r="U70" s="3" t="s">
        <v>291</v>
      </c>
      <c r="V70" s="3">
        <v>2016</v>
      </c>
      <c r="W70" s="3">
        <v>2017</v>
      </c>
      <c r="X70" s="3">
        <v>2018</v>
      </c>
      <c r="Y70" s="3">
        <v>2019</v>
      </c>
      <c r="Z70" s="3">
        <v>2020</v>
      </c>
      <c r="AA70" s="3">
        <v>2021</v>
      </c>
      <c r="AM70" s="28" t="s">
        <v>64</v>
      </c>
      <c r="AN70" s="22">
        <f t="shared" ref="AN70:AS70" si="94">AN67-AN69</f>
        <v>191</v>
      </c>
      <c r="AO70" s="22">
        <f t="shared" si="94"/>
        <v>16863</v>
      </c>
      <c r="AP70" s="22">
        <f t="shared" si="94"/>
        <v>243</v>
      </c>
      <c r="AQ70" s="22">
        <f t="shared" si="94"/>
        <v>630</v>
      </c>
      <c r="AR70" s="22">
        <f t="shared" si="94"/>
        <v>4233</v>
      </c>
      <c r="AS70" s="22">
        <f t="shared" si="94"/>
        <v>4401</v>
      </c>
      <c r="AV70" t="s">
        <v>50</v>
      </c>
      <c r="AW70">
        <f>40047</f>
        <v>40047</v>
      </c>
      <c r="AX70">
        <f>43816</f>
        <v>43816</v>
      </c>
      <c r="AY70">
        <f>41601</f>
        <v>41601</v>
      </c>
      <c r="AZ70">
        <f>36731</f>
        <v>36731</v>
      </c>
      <c r="BA70">
        <f>32041</f>
        <v>32041</v>
      </c>
      <c r="BB70">
        <f>35410</f>
        <v>35410</v>
      </c>
    </row>
    <row r="71" spans="7:62" ht="15" thickBot="1">
      <c r="G71" s="5" t="s">
        <v>162</v>
      </c>
      <c r="H71" s="5">
        <f t="shared" ref="H71:M71" si="95">H68-H69-H70</f>
        <v>5768</v>
      </c>
      <c r="I71" s="5">
        <f t="shared" si="95"/>
        <v>4222</v>
      </c>
      <c r="J71" s="5">
        <f t="shared" si="95"/>
        <v>7208</v>
      </c>
      <c r="K71" s="5">
        <f t="shared" si="95"/>
        <v>9729</v>
      </c>
      <c r="L71" s="5">
        <f t="shared" si="95"/>
        <v>10806</v>
      </c>
      <c r="M71" s="5">
        <f t="shared" si="95"/>
        <v>19766</v>
      </c>
      <c r="U71" s="3" t="s">
        <v>66</v>
      </c>
      <c r="V71" s="42">
        <f>V20</f>
        <v>2238.9229457892943</v>
      </c>
      <c r="W71" s="42">
        <f t="shared" ref="W71:AA71" si="96">W20</f>
        <v>1022.9884437596302</v>
      </c>
      <c r="X71" s="42">
        <f t="shared" si="96"/>
        <v>621.50928792569664</v>
      </c>
      <c r="Y71" s="42">
        <f t="shared" si="96"/>
        <v>4506.7723332743681</v>
      </c>
      <c r="Z71" s="42">
        <f t="shared" si="96"/>
        <v>6378.0920455938231</v>
      </c>
      <c r="AA71" s="42">
        <f t="shared" si="96"/>
        <v>7682.9012258129878</v>
      </c>
      <c r="AM71" s="29" t="s">
        <v>230</v>
      </c>
      <c r="AN71" s="103">
        <f t="shared" ref="AN71:AS71" si="97">AN70/AN59</f>
        <v>1.4975224236341968E-3</v>
      </c>
      <c r="AO71" s="103">
        <f t="shared" si="97"/>
        <v>0.13416021576380546</v>
      </c>
      <c r="AP71" s="103">
        <f t="shared" si="97"/>
        <v>2.0399939555734649E-3</v>
      </c>
      <c r="AQ71" s="103">
        <f t="shared" si="97"/>
        <v>4.9476180752980351E-3</v>
      </c>
      <c r="AR71" s="103">
        <f t="shared" si="97"/>
        <v>3.4595769721141589E-2</v>
      </c>
      <c r="AS71" s="103">
        <f t="shared" si="97"/>
        <v>3.775770210794533E-2</v>
      </c>
      <c r="AT71" s="119"/>
      <c r="AV71" s="5" t="s">
        <v>224</v>
      </c>
      <c r="AW71" s="5">
        <f>AW68+AW69-AW70</f>
        <v>84040</v>
      </c>
      <c r="AX71" s="5">
        <f t="shared" ref="AX71:BB71" si="98">AX68+AX69-AX70</f>
        <v>87732</v>
      </c>
      <c r="AY71" s="5">
        <f t="shared" si="98"/>
        <v>90903</v>
      </c>
      <c r="AZ71" s="5">
        <f t="shared" si="98"/>
        <v>86647</v>
      </c>
      <c r="BA71" s="5">
        <f t="shared" si="98"/>
        <v>96490</v>
      </c>
      <c r="BB71" s="5">
        <f t="shared" si="98"/>
        <v>94805</v>
      </c>
    </row>
    <row r="72" spans="7:62" ht="15.6">
      <c r="U72" s="3" t="s">
        <v>365</v>
      </c>
      <c r="V72" s="3">
        <f t="shared" ref="V72:AA72" si="99">V6+V8</f>
        <v>18971</v>
      </c>
      <c r="W72" s="3">
        <f t="shared" si="99"/>
        <v>22385</v>
      </c>
      <c r="X72" s="3">
        <f t="shared" si="99"/>
        <v>24249</v>
      </c>
      <c r="Y72" s="3">
        <f t="shared" si="99"/>
        <v>46516</v>
      </c>
      <c r="Z72" s="3">
        <f t="shared" si="99"/>
        <v>51445</v>
      </c>
      <c r="AA72" s="3">
        <f t="shared" si="99"/>
        <v>70645</v>
      </c>
      <c r="AM72" t="s">
        <v>221</v>
      </c>
      <c r="AN72" s="107">
        <f>-AW63</f>
        <v>246</v>
      </c>
      <c r="AO72" s="107">
        <v>3973</v>
      </c>
      <c r="AP72" s="107">
        <v>72</v>
      </c>
      <c r="AQ72" s="107">
        <f>-AZ63</f>
        <v>74</v>
      </c>
      <c r="AR72" s="106">
        <v>670</v>
      </c>
      <c r="AS72" s="121">
        <v>1657</v>
      </c>
      <c r="AT72" s="113"/>
      <c r="AV72" t="s">
        <v>371</v>
      </c>
      <c r="AW72">
        <f>33993</f>
        <v>33993</v>
      </c>
      <c r="AX72">
        <f>35180</f>
        <v>35180</v>
      </c>
      <c r="AY72">
        <f>35768</f>
        <v>35768</v>
      </c>
      <c r="AZ72">
        <f>34825</f>
        <v>34825</v>
      </c>
      <c r="BA72">
        <f>35727</f>
        <v>35727</v>
      </c>
      <c r="BB72">
        <f>39141</f>
        <v>39141</v>
      </c>
    </row>
    <row r="73" spans="7:62">
      <c r="U73" s="25" t="s">
        <v>372</v>
      </c>
      <c r="V73" s="10">
        <f>V71/V72</f>
        <v>0.11801818279422774</v>
      </c>
      <c r="W73" s="43">
        <f t="shared" ref="W73:AA73" si="100">W71/W72</f>
        <v>4.5699729450955115E-2</v>
      </c>
      <c r="X73" s="43">
        <f t="shared" si="100"/>
        <v>2.5630305906457859E-2</v>
      </c>
      <c r="Y73" s="43">
        <f t="shared" si="100"/>
        <v>9.6886497834602459E-2</v>
      </c>
      <c r="Z73" s="43">
        <f t="shared" si="100"/>
        <v>0.12397885208657446</v>
      </c>
      <c r="AA73" s="43">
        <f t="shared" si="100"/>
        <v>0.10875364464311682</v>
      </c>
      <c r="AB73" s="65"/>
      <c r="AM73" t="s">
        <v>231</v>
      </c>
      <c r="AN73" s="22">
        <f t="shared" ref="AN73:AS73" si="101">-AN79</f>
        <v>-15.388739946380698</v>
      </c>
      <c r="AO73" s="22">
        <f t="shared" si="101"/>
        <v>-14.961732292185856</v>
      </c>
      <c r="AP73" s="22">
        <f t="shared" si="101"/>
        <v>42.804878048780488</v>
      </c>
      <c r="AQ73" s="22">
        <f t="shared" si="101"/>
        <v>52.406557377049182</v>
      </c>
      <c r="AR73" s="22">
        <f t="shared" si="101"/>
        <v>57.0415040794608</v>
      </c>
      <c r="AS73" s="22">
        <f t="shared" si="101"/>
        <v>0</v>
      </c>
      <c r="AT73" s="116"/>
      <c r="AV73" t="s">
        <v>373</v>
      </c>
      <c r="AX73">
        <f>1654</f>
        <v>1654</v>
      </c>
      <c r="AY73">
        <f>1150</f>
        <v>1150</v>
      </c>
      <c r="AZ73">
        <f>109</f>
        <v>109</v>
      </c>
      <c r="BA73">
        <f>-1262</f>
        <v>-1262</v>
      </c>
      <c r="BB73">
        <f>1240</f>
        <v>1240</v>
      </c>
    </row>
    <row r="74" spans="7:62">
      <c r="G74" s="76" t="s">
        <v>374</v>
      </c>
      <c r="H74" s="76">
        <v>2016</v>
      </c>
      <c r="I74" s="76">
        <v>2017</v>
      </c>
      <c r="J74" s="76">
        <v>2018</v>
      </c>
      <c r="K74" s="76">
        <v>2019</v>
      </c>
      <c r="L74" s="76">
        <v>2020</v>
      </c>
      <c r="M74" s="76">
        <v>2021</v>
      </c>
      <c r="AM74" t="s">
        <v>232</v>
      </c>
      <c r="AN74" s="22">
        <f t="shared" ref="AN74:AS74" si="102">AN72+AN73</f>
        <v>230.6112600536193</v>
      </c>
      <c r="AO74" s="22">
        <f t="shared" si="102"/>
        <v>3958.0382677078142</v>
      </c>
      <c r="AP74" s="22">
        <f t="shared" si="102"/>
        <v>114.80487804878049</v>
      </c>
      <c r="AQ74" s="22">
        <f t="shared" si="102"/>
        <v>126.40655737704918</v>
      </c>
      <c r="AR74" s="22">
        <f t="shared" si="102"/>
        <v>727.04150407946076</v>
      </c>
      <c r="AS74" s="22">
        <f t="shared" si="102"/>
        <v>1657</v>
      </c>
      <c r="AT74" s="116"/>
      <c r="AV74" t="s">
        <v>227</v>
      </c>
      <c r="AW74">
        <f>44163</f>
        <v>44163</v>
      </c>
      <c r="AX74">
        <f>46692</f>
        <v>46692</v>
      </c>
      <c r="AY74">
        <f>52737</f>
        <v>52737</v>
      </c>
      <c r="AZ74">
        <f>50038</f>
        <v>50038</v>
      </c>
      <c r="BA74">
        <f>42230</f>
        <v>42230</v>
      </c>
      <c r="BB74">
        <f>53091</f>
        <v>53091</v>
      </c>
    </row>
    <row r="75" spans="7:62">
      <c r="G75" t="s">
        <v>220</v>
      </c>
      <c r="H75">
        <f>Vekstanalyse!C37</f>
        <v>14834</v>
      </c>
      <c r="I75">
        <f>Vekstanalyse!D37</f>
        <v>25864</v>
      </c>
      <c r="J75">
        <f>Vekstanalyse!E37</f>
        <v>27593</v>
      </c>
      <c r="K75">
        <f>Vekstanalyse!F37</f>
        <v>38257</v>
      </c>
      <c r="L75">
        <f>Vekstanalyse!G37</f>
        <v>51247</v>
      </c>
      <c r="M75">
        <f>Vekstanalyse!H37</f>
        <v>56240</v>
      </c>
      <c r="AB75" s="35"/>
      <c r="AM75" s="33" t="s">
        <v>233</v>
      </c>
      <c r="AN75" s="102">
        <f t="shared" ref="AN75:AS75" si="103">(-AN74)/AN70</f>
        <v>-1.2073887960922476</v>
      </c>
      <c r="AO75" s="102">
        <f t="shared" si="103"/>
        <v>-0.23471732596262909</v>
      </c>
      <c r="AP75" s="102">
        <f t="shared" si="103"/>
        <v>-0.47244805781391153</v>
      </c>
      <c r="AQ75" s="102">
        <f t="shared" si="103"/>
        <v>-0.20064532916991934</v>
      </c>
      <c r="AR75" s="102">
        <f t="shared" si="103"/>
        <v>-0.17175561164173417</v>
      </c>
      <c r="AS75" s="102">
        <f t="shared" si="103"/>
        <v>-0.37650533969552374</v>
      </c>
      <c r="AT75" s="120"/>
      <c r="AV75" s="125" t="s">
        <v>162</v>
      </c>
      <c r="AW75" s="125">
        <f t="shared" ref="AW75:BB75" si="104">AW71-AW72-AW73-AW74</f>
        <v>5884</v>
      </c>
      <c r="AX75" s="125">
        <f t="shared" si="104"/>
        <v>4206</v>
      </c>
      <c r="AY75" s="125">
        <f t="shared" si="104"/>
        <v>1248</v>
      </c>
      <c r="AZ75" s="125">
        <f t="shared" si="104"/>
        <v>1675</v>
      </c>
      <c r="BA75" s="125">
        <f t="shared" si="104"/>
        <v>19795</v>
      </c>
      <c r="BB75" s="125">
        <f t="shared" si="104"/>
        <v>1333</v>
      </c>
    </row>
    <row r="76" spans="7:62" ht="15" thickBot="1">
      <c r="G76" t="s">
        <v>342</v>
      </c>
      <c r="H76">
        <v>426</v>
      </c>
      <c r="I76">
        <v>693</v>
      </c>
      <c r="J76">
        <v>829</v>
      </c>
      <c r="K76">
        <v>1009</v>
      </c>
      <c r="L76">
        <v>1202</v>
      </c>
      <c r="M76">
        <v>1842</v>
      </c>
      <c r="U76" s="25" t="s">
        <v>291</v>
      </c>
      <c r="V76" s="3">
        <v>2017</v>
      </c>
      <c r="W76" s="3">
        <v>2018</v>
      </c>
      <c r="X76" s="3">
        <v>2019</v>
      </c>
      <c r="Y76" s="3">
        <v>2020</v>
      </c>
      <c r="Z76" s="3">
        <v>2021</v>
      </c>
      <c r="AM76" s="31" t="s">
        <v>66</v>
      </c>
      <c r="AN76" s="68">
        <f t="shared" ref="AN76:AS76" si="105">AN70+AN74</f>
        <v>421.61126005361928</v>
      </c>
      <c r="AO76" s="68">
        <f t="shared" si="105"/>
        <v>20821.038267707816</v>
      </c>
      <c r="AP76" s="68">
        <f t="shared" si="105"/>
        <v>357.80487804878049</v>
      </c>
      <c r="AQ76" s="68">
        <f t="shared" si="105"/>
        <v>756.40655737704924</v>
      </c>
      <c r="AR76" s="68">
        <f t="shared" si="105"/>
        <v>4960.0415040794605</v>
      </c>
      <c r="AS76" s="68">
        <f t="shared" si="105"/>
        <v>6058</v>
      </c>
      <c r="AT76" s="117"/>
      <c r="AV76" t="s">
        <v>229</v>
      </c>
      <c r="AW76">
        <f>1483</f>
        <v>1483</v>
      </c>
      <c r="AX76">
        <f>1627</f>
        <v>1627</v>
      </c>
      <c r="AY76">
        <f>1768</f>
        <v>1768</v>
      </c>
      <c r="AZ76">
        <f>1541</f>
        <v>1541</v>
      </c>
      <c r="BA76">
        <f>1670</f>
        <v>1670</v>
      </c>
      <c r="BB76">
        <f>2382</f>
        <v>2382</v>
      </c>
    </row>
    <row r="77" spans="7:62" ht="15.6">
      <c r="G77" t="s">
        <v>50</v>
      </c>
      <c r="H77">
        <f>Vekstanalyse!C41</f>
        <v>3614</v>
      </c>
      <c r="I77">
        <f>Vekstanalyse!D41</f>
        <v>4678</v>
      </c>
      <c r="J77">
        <f>Vekstanalyse!E41</f>
        <v>5080</v>
      </c>
      <c r="K77">
        <f>Vekstanalyse!F41</f>
        <v>7140</v>
      </c>
      <c r="L77">
        <f>Vekstanalyse!G41</f>
        <v>7521</v>
      </c>
      <c r="M77">
        <f>Vekstanalyse!H41</f>
        <v>10456</v>
      </c>
      <c r="U77" s="25" t="s">
        <v>375</v>
      </c>
      <c r="V77" s="59">
        <f>W63</f>
        <v>1.2789779187361618</v>
      </c>
      <c r="W77" s="59">
        <f t="shared" ref="W77:Z77" si="106">X63</f>
        <v>1.1199979535629321</v>
      </c>
      <c r="X77" s="59">
        <f t="shared" si="106"/>
        <v>1.5726231432610775</v>
      </c>
      <c r="Y77" s="59">
        <f t="shared" si="106"/>
        <v>1.2799853432543036</v>
      </c>
      <c r="Z77" s="59">
        <f t="shared" si="106"/>
        <v>1.6610331001135643</v>
      </c>
      <c r="AM77" t="s">
        <v>235</v>
      </c>
      <c r="AN77" s="108">
        <v>-265</v>
      </c>
      <c r="AO77" s="107">
        <v>-265</v>
      </c>
      <c r="AP77" s="108">
        <v>-125</v>
      </c>
      <c r="AQ77" s="109">
        <v>-131</v>
      </c>
      <c r="AR77" s="108">
        <v>-166</v>
      </c>
      <c r="AS77" s="101">
        <v>-87</v>
      </c>
      <c r="AT77" s="113"/>
      <c r="AV77" s="125" t="s">
        <v>64</v>
      </c>
      <c r="AW77" s="125">
        <f>AW75-AW76</f>
        <v>4401</v>
      </c>
      <c r="AX77" s="125">
        <f t="shared" ref="AX77:BB77" si="107">AX75-AX76</f>
        <v>2579</v>
      </c>
      <c r="AY77" s="125">
        <f t="shared" si="107"/>
        <v>-520</v>
      </c>
      <c r="AZ77" s="125">
        <f t="shared" si="107"/>
        <v>134</v>
      </c>
      <c r="BA77" s="125">
        <f>BA75-BA76</f>
        <v>18125</v>
      </c>
      <c r="BB77" s="125">
        <f t="shared" si="107"/>
        <v>-1049</v>
      </c>
    </row>
    <row r="78" spans="7:62" ht="15" thickBot="1">
      <c r="G78" s="5" t="s">
        <v>224</v>
      </c>
      <c r="H78" s="5">
        <f t="shared" ref="H78:M78" si="108">H75+H76-H77</f>
        <v>11646</v>
      </c>
      <c r="I78" s="5">
        <f t="shared" si="108"/>
        <v>21879</v>
      </c>
      <c r="J78" s="5">
        <f t="shared" si="108"/>
        <v>23342</v>
      </c>
      <c r="K78" s="5">
        <f t="shared" si="108"/>
        <v>32126</v>
      </c>
      <c r="L78" s="5">
        <f t="shared" si="108"/>
        <v>44928</v>
      </c>
      <c r="M78" s="5">
        <f t="shared" si="108"/>
        <v>47626</v>
      </c>
      <c r="U78" s="25" t="s">
        <v>376</v>
      </c>
      <c r="V78" s="61">
        <f>W73</f>
        <v>4.5699729450955115E-2</v>
      </c>
      <c r="W78" s="61">
        <f t="shared" ref="W78:Z78" si="109">X73</f>
        <v>2.5630305906457859E-2</v>
      </c>
      <c r="X78" s="61">
        <f t="shared" si="109"/>
        <v>9.6886497834602459E-2</v>
      </c>
      <c r="Y78" s="61">
        <f t="shared" si="109"/>
        <v>0.12397885208657446</v>
      </c>
      <c r="Z78" s="61">
        <f t="shared" si="109"/>
        <v>0.10875364464311682</v>
      </c>
      <c r="AM78" t="s">
        <v>236</v>
      </c>
      <c r="AN78" s="107">
        <v>195</v>
      </c>
      <c r="AO78" s="107">
        <v>197</v>
      </c>
      <c r="AP78" s="107">
        <v>320</v>
      </c>
      <c r="AQ78" s="107">
        <v>347</v>
      </c>
      <c r="AR78" s="106">
        <v>406</v>
      </c>
      <c r="AS78" s="107">
        <v>93</v>
      </c>
      <c r="AT78" s="106"/>
      <c r="AV78" t="s">
        <v>221</v>
      </c>
      <c r="AW78">
        <f>-1657</f>
        <v>-1657</v>
      </c>
      <c r="AX78">
        <f>-670</f>
        <v>-670</v>
      </c>
      <c r="AY78">
        <f>74</f>
        <v>74</v>
      </c>
      <c r="AZ78">
        <f>-72</f>
        <v>-72</v>
      </c>
      <c r="BA78">
        <f>-3973</f>
        <v>-3973</v>
      </c>
      <c r="BB78">
        <f>246</f>
        <v>246</v>
      </c>
    </row>
    <row r="79" spans="7:62">
      <c r="G79" t="s">
        <v>226</v>
      </c>
      <c r="H79">
        <v>4553</v>
      </c>
      <c r="I79">
        <v>7496</v>
      </c>
      <c r="J79">
        <v>8507</v>
      </c>
      <c r="K79">
        <v>11849</v>
      </c>
      <c r="L79">
        <v>16061</v>
      </c>
      <c r="M79">
        <v>17195</v>
      </c>
      <c r="U79" s="25" t="s">
        <v>350</v>
      </c>
      <c r="V79" s="61">
        <f>V57</f>
        <v>6.6712431852750387E-2</v>
      </c>
      <c r="W79" s="61">
        <f t="shared" ref="W79:Z79" si="110">W57</f>
        <v>3.2865952171669106E-2</v>
      </c>
      <c r="X79" s="61">
        <f t="shared" si="110"/>
        <v>0.17982334898003322</v>
      </c>
      <c r="Y79" s="61">
        <f t="shared" si="110"/>
        <v>0.18613411459876311</v>
      </c>
      <c r="Z79" s="61">
        <f t="shared" si="110"/>
        <v>0.18893953527145346</v>
      </c>
      <c r="AM79" t="s">
        <v>237</v>
      </c>
      <c r="AN79" s="22">
        <f>-AW64*(AN77+AN78)</f>
        <v>15.388739946380698</v>
      </c>
      <c r="AO79" s="22">
        <f>-AX64*(AO77+AO78)</f>
        <v>14.961732292185856</v>
      </c>
      <c r="AP79" s="22">
        <f>-AY64*(AP77+AP78)</f>
        <v>-42.804878048780488</v>
      </c>
      <c r="AQ79" s="22">
        <f>-AZ64*(AQ77+AQ78)</f>
        <v>-52.406557377049182</v>
      </c>
      <c r="AR79" s="22">
        <f>-BA64*(AR77+AR78)</f>
        <v>-57.0415040794608</v>
      </c>
      <c r="AV79" t="s">
        <v>377</v>
      </c>
      <c r="AW79" s="6">
        <f>-AW84</f>
        <v>2.2590320381731424</v>
      </c>
      <c r="AX79" s="6">
        <f t="shared" ref="AX79:BB79" si="111">-AX84</f>
        <v>62.349747964327264</v>
      </c>
      <c r="AY79" s="6">
        <f t="shared" si="111"/>
        <v>30.738461538461536</v>
      </c>
      <c r="AZ79" s="6">
        <f t="shared" si="111"/>
        <v>104.77611940298507</v>
      </c>
      <c r="BA79" s="6">
        <f t="shared" si="111"/>
        <v>-14.9056</v>
      </c>
      <c r="BB79" s="6">
        <f t="shared" si="111"/>
        <v>-16.415633937082937</v>
      </c>
    </row>
    <row r="80" spans="7:62" ht="15" thickBot="1">
      <c r="G80" t="s">
        <v>227</v>
      </c>
      <c r="H80">
        <v>5307</v>
      </c>
      <c r="I80">
        <v>9319</v>
      </c>
      <c r="J80">
        <v>11880</v>
      </c>
      <c r="K80">
        <v>11382</v>
      </c>
      <c r="L80">
        <v>14453</v>
      </c>
      <c r="M80">
        <v>25239</v>
      </c>
      <c r="O80">
        <f>_xlfn.VAR.S(H80:M80)</f>
        <v>45695852.799999997</v>
      </c>
      <c r="P80">
        <f>SQRT(O80)</f>
        <v>6759.8707679954941</v>
      </c>
      <c r="AM80" s="5" t="s">
        <v>238</v>
      </c>
      <c r="AN80" s="23">
        <f t="shared" ref="AN80:AT80" si="112">AN76+AN77+AN78+AN79</f>
        <v>367</v>
      </c>
      <c r="AO80" s="23">
        <f t="shared" si="112"/>
        <v>20768.000000000004</v>
      </c>
      <c r="AP80" s="23">
        <f t="shared" si="112"/>
        <v>509.99999999999994</v>
      </c>
      <c r="AQ80" s="23">
        <f t="shared" si="112"/>
        <v>920</v>
      </c>
      <c r="AR80" s="23">
        <f t="shared" si="112"/>
        <v>5143</v>
      </c>
      <c r="AS80" s="23">
        <f t="shared" si="112"/>
        <v>6064</v>
      </c>
      <c r="AT80" s="23">
        <f t="shared" si="112"/>
        <v>0</v>
      </c>
      <c r="AV80" t="s">
        <v>232</v>
      </c>
      <c r="AW80" s="6">
        <f>AW78+AW79</f>
        <v>-1654.7409679618268</v>
      </c>
      <c r="AX80" s="6">
        <f t="shared" ref="AX80:BB80" si="113">AX78+AX79</f>
        <v>-607.65025203567279</v>
      </c>
      <c r="AY80" s="6">
        <f t="shared" si="113"/>
        <v>104.73846153846154</v>
      </c>
      <c r="AZ80" s="6">
        <f t="shared" si="113"/>
        <v>32.776119402985074</v>
      </c>
      <c r="BA80" s="6">
        <f t="shared" si="113"/>
        <v>-3987.9056</v>
      </c>
      <c r="BB80" s="6">
        <f t="shared" si="113"/>
        <v>229.58436606291707</v>
      </c>
    </row>
    <row r="81" spans="7:54" ht="15" thickBot="1">
      <c r="G81" s="5" t="s">
        <v>162</v>
      </c>
      <c r="H81" s="5">
        <f t="shared" ref="H81:M81" si="114">H78-H79-H80</f>
        <v>1786</v>
      </c>
      <c r="I81" s="5">
        <f t="shared" si="114"/>
        <v>5064</v>
      </c>
      <c r="J81" s="5">
        <f t="shared" si="114"/>
        <v>2955</v>
      </c>
      <c r="K81" s="5">
        <f t="shared" si="114"/>
        <v>8895</v>
      </c>
      <c r="L81" s="5">
        <f t="shared" si="114"/>
        <v>14414</v>
      </c>
      <c r="M81" s="5">
        <f t="shared" si="114"/>
        <v>5192</v>
      </c>
      <c r="V81" s="129"/>
      <c r="W81" s="129"/>
      <c r="X81" s="129"/>
      <c r="Y81" s="129"/>
      <c r="Z81" s="129"/>
      <c r="AV81" s="5" t="s">
        <v>66</v>
      </c>
      <c r="AW81" s="7">
        <f>AW77+AW80</f>
        <v>2746.2590320381732</v>
      </c>
      <c r="AX81" s="7">
        <f t="shared" ref="AX81:BB81" si="115">AX77+AX80</f>
        <v>1971.3497479643272</v>
      </c>
      <c r="AY81" s="7">
        <f t="shared" si="115"/>
        <v>-415.26153846153846</v>
      </c>
      <c r="AZ81" s="7">
        <f t="shared" si="115"/>
        <v>166.77611940298507</v>
      </c>
      <c r="BA81" s="7">
        <f t="shared" si="115"/>
        <v>14137.0944</v>
      </c>
      <c r="BB81" s="7">
        <f t="shared" si="115"/>
        <v>-819.41563393708293</v>
      </c>
    </row>
    <row r="82" spans="7:54">
      <c r="G82" s="11"/>
      <c r="U82" t="s">
        <v>291</v>
      </c>
      <c r="AV82" t="s">
        <v>378</v>
      </c>
      <c r="AW82">
        <f>93</f>
        <v>93</v>
      </c>
      <c r="AX82">
        <f>406</f>
        <v>406</v>
      </c>
      <c r="AY82">
        <f>347</f>
        <v>347</v>
      </c>
      <c r="AZ82">
        <f>320</f>
        <v>320</v>
      </c>
      <c r="BA82">
        <f>197</f>
        <v>197</v>
      </c>
      <c r="BB82">
        <f>195</f>
        <v>195</v>
      </c>
    </row>
    <row r="83" spans="7:54">
      <c r="G83" s="76" t="s">
        <v>379</v>
      </c>
      <c r="H83" s="76">
        <v>2016</v>
      </c>
      <c r="I83" s="76">
        <v>2017</v>
      </c>
      <c r="J83" s="76">
        <v>2018</v>
      </c>
      <c r="K83" s="76">
        <v>2019</v>
      </c>
      <c r="L83" s="76">
        <v>2020</v>
      </c>
      <c r="M83" s="76">
        <v>2021</v>
      </c>
      <c r="U83" t="s">
        <v>375</v>
      </c>
      <c r="V83" s="1">
        <f>V77</f>
        <v>1.2789779187361618</v>
      </c>
      <c r="W83" s="1">
        <f t="shared" ref="W83:Z83" si="116">W77</f>
        <v>1.1199979535629321</v>
      </c>
      <c r="X83" s="1">
        <f t="shared" si="116"/>
        <v>1.5726231432610775</v>
      </c>
      <c r="Y83" s="1">
        <f t="shared" si="116"/>
        <v>1.2799853432543036</v>
      </c>
      <c r="Z83" s="1">
        <f t="shared" si="116"/>
        <v>1.6610331001135643</v>
      </c>
      <c r="AV83" t="s">
        <v>380</v>
      </c>
      <c r="AW83">
        <v>-87</v>
      </c>
      <c r="AX83">
        <f>-166</f>
        <v>-166</v>
      </c>
      <c r="AY83">
        <f>-131</f>
        <v>-131</v>
      </c>
      <c r="AZ83">
        <f>-125</f>
        <v>-125</v>
      </c>
      <c r="BA83">
        <f>-265</f>
        <v>-265</v>
      </c>
      <c r="BB83">
        <f>-265</f>
        <v>-265</v>
      </c>
    </row>
    <row r="84" spans="7:54">
      <c r="G84" t="s">
        <v>220</v>
      </c>
      <c r="H84">
        <f>Vekstanalyse!L24</f>
        <v>31378</v>
      </c>
      <c r="I84">
        <f>Vekstanalyse!M24</f>
        <v>35300</v>
      </c>
      <c r="J84">
        <f>Vekstanalyse!N24</f>
        <v>34765</v>
      </c>
      <c r="K84">
        <f>Vekstanalyse!O24</f>
        <v>54268</v>
      </c>
      <c r="L84">
        <f>Vekstanalyse!P24</f>
        <v>70187</v>
      </c>
      <c r="M84">
        <f>Vekstanalyse!Q24</f>
        <v>80867</v>
      </c>
      <c r="U84" t="s">
        <v>381</v>
      </c>
      <c r="V84">
        <f>365</f>
        <v>365</v>
      </c>
      <c r="W84">
        <f>365</f>
        <v>365</v>
      </c>
      <c r="X84">
        <f>365</f>
        <v>365</v>
      </c>
      <c r="Y84">
        <f>365</f>
        <v>365</v>
      </c>
      <c r="Z84">
        <f>365</f>
        <v>365</v>
      </c>
      <c r="AV84" t="s">
        <v>237</v>
      </c>
      <c r="AW84" s="6">
        <f t="shared" ref="AW84:BB84" si="117">-(AW82+AW83)*BE69</f>
        <v>-2.2590320381731424</v>
      </c>
      <c r="AX84" s="6">
        <f t="shared" si="117"/>
        <v>-62.349747964327264</v>
      </c>
      <c r="AY84" s="6">
        <f t="shared" si="117"/>
        <v>-30.738461538461536</v>
      </c>
      <c r="AZ84" s="6">
        <f t="shared" si="117"/>
        <v>-104.77611940298507</v>
      </c>
      <c r="BA84" s="6">
        <f t="shared" si="117"/>
        <v>14.9056</v>
      </c>
      <c r="BB84" s="6">
        <f t="shared" si="117"/>
        <v>16.415633937082937</v>
      </c>
    </row>
    <row r="85" spans="7:54" ht="15" thickBot="1">
      <c r="G85" t="s">
        <v>342</v>
      </c>
      <c r="H85">
        <v>461</v>
      </c>
      <c r="I85">
        <v>480</v>
      </c>
      <c r="J85">
        <v>480</v>
      </c>
      <c r="K85">
        <v>635</v>
      </c>
      <c r="L85">
        <v>1114</v>
      </c>
      <c r="M85">
        <v>403</v>
      </c>
      <c r="U85" t="s">
        <v>382</v>
      </c>
      <c r="V85" s="22">
        <f>V84/V83</f>
        <v>285.38412950919383</v>
      </c>
      <c r="W85" s="22">
        <f t="shared" ref="W85:Z85" si="118">W84/W83</f>
        <v>325.89345260753714</v>
      </c>
      <c r="X85" s="22">
        <f t="shared" si="118"/>
        <v>232.096291831949</v>
      </c>
      <c r="Y85" s="22">
        <f t="shared" si="118"/>
        <v>285.15951524257645</v>
      </c>
      <c r="Z85" s="22">
        <f t="shared" si="118"/>
        <v>219.74276128214728</v>
      </c>
      <c r="AB85" s="154" t="s">
        <v>96</v>
      </c>
      <c r="AC85" s="154"/>
      <c r="AD85" s="154">
        <v>2016</v>
      </c>
      <c r="AE85" s="154">
        <v>2017</v>
      </c>
      <c r="AF85" s="154">
        <v>2018</v>
      </c>
      <c r="AG85" s="154">
        <v>2019</v>
      </c>
      <c r="AH85" s="154">
        <v>2020</v>
      </c>
      <c r="AI85" s="154">
        <v>2021</v>
      </c>
      <c r="AJ85" s="493">
        <v>2022</v>
      </c>
      <c r="AK85" s="153" t="s">
        <v>7</v>
      </c>
      <c r="AV85" s="5" t="s">
        <v>349</v>
      </c>
      <c r="AW85" s="7">
        <f>SUM(AW81:AW84)</f>
        <v>2750</v>
      </c>
      <c r="AX85" s="7">
        <f t="shared" ref="AX85:BB85" si="119">SUM(AX81:AX84)</f>
        <v>2149</v>
      </c>
      <c r="AY85" s="7">
        <f t="shared" si="119"/>
        <v>-230</v>
      </c>
      <c r="AZ85" s="7">
        <f t="shared" si="119"/>
        <v>257</v>
      </c>
      <c r="BA85" s="7">
        <f t="shared" si="119"/>
        <v>14084</v>
      </c>
      <c r="BB85" s="7">
        <f t="shared" si="119"/>
        <v>-873</v>
      </c>
    </row>
    <row r="86" spans="7:54" ht="15" thickBot="1">
      <c r="G86" t="s">
        <v>50</v>
      </c>
      <c r="H86">
        <f>Vekstanalyse!L28</f>
        <v>7158</v>
      </c>
      <c r="I86">
        <f>Vekstanalyse!M28</f>
        <v>8401</v>
      </c>
      <c r="J86">
        <f>Vekstanalyse!N28</f>
        <v>7005</v>
      </c>
      <c r="K86">
        <f>Vekstanalyse!O28</f>
        <v>10869</v>
      </c>
      <c r="L86">
        <f>Vekstanalyse!P28</f>
        <v>13060</v>
      </c>
      <c r="M86">
        <f>Vekstanalyse!Q28</f>
        <v>12353</v>
      </c>
      <c r="AB86" s="151" t="s">
        <v>306</v>
      </c>
      <c r="AC86" s="137" t="s">
        <v>418</v>
      </c>
      <c r="AD86" s="116">
        <f>Likviditetsanalyse!Q10</f>
        <v>94.790762453844664</v>
      </c>
      <c r="AE86" s="116">
        <f>Likviditetsanalyse!R10</f>
        <v>97.948681356319213</v>
      </c>
      <c r="AF86" s="116">
        <f>Likviditetsanalyse!S10</f>
        <v>115.47823830355156</v>
      </c>
      <c r="AG86" s="116">
        <f>Likviditetsanalyse!T10</f>
        <v>99.093179014158977</v>
      </c>
      <c r="AH86" s="116">
        <f>Likviditetsanalyse!U10</f>
        <v>117.08262700278887</v>
      </c>
      <c r="AI86" s="116">
        <f>Likviditetsanalyse!V10</f>
        <v>100.35854777905261</v>
      </c>
      <c r="AJ86" s="116">
        <f>Likviditetsanalyse!W10</f>
        <v>73.280120948248452</v>
      </c>
      <c r="AK86" s="156">
        <f>AVERAGE(AD86:AJ86)</f>
        <v>99.718879551137761</v>
      </c>
      <c r="AM86" s="536" t="s">
        <v>240</v>
      </c>
      <c r="AN86" s="536">
        <v>2021</v>
      </c>
      <c r="AO86" s="536">
        <v>2020</v>
      </c>
      <c r="AP86" s="536">
        <v>2019</v>
      </c>
      <c r="AQ86" s="536">
        <v>2018</v>
      </c>
      <c r="AR86" s="536">
        <v>2017</v>
      </c>
      <c r="AS86" s="536">
        <v>2016</v>
      </c>
      <c r="AT86" s="537"/>
    </row>
    <row r="87" spans="7:54" ht="15" thickBot="1">
      <c r="G87" s="5" t="s">
        <v>224</v>
      </c>
      <c r="H87" s="5">
        <f t="shared" ref="H87:M87" si="120">H84+H85-H86</f>
        <v>24681</v>
      </c>
      <c r="I87" s="5">
        <f t="shared" si="120"/>
        <v>27379</v>
      </c>
      <c r="J87" s="5">
        <f t="shared" si="120"/>
        <v>28240</v>
      </c>
      <c r="K87" s="5">
        <f t="shared" si="120"/>
        <v>44034</v>
      </c>
      <c r="L87" s="5">
        <f t="shared" si="120"/>
        <v>58241</v>
      </c>
      <c r="M87" s="5">
        <f t="shared" si="120"/>
        <v>68917</v>
      </c>
      <c r="AB87" s="151"/>
      <c r="AC87" s="137" t="s">
        <v>291</v>
      </c>
      <c r="AD87" s="116">
        <f t="shared" ref="AD87:AI87" si="121">AF9</f>
        <v>83.764163770962384</v>
      </c>
      <c r="AE87" s="116">
        <f t="shared" si="121"/>
        <v>60.904868297271875</v>
      </c>
      <c r="AF87" s="116">
        <f t="shared" si="121"/>
        <v>80.146024878312602</v>
      </c>
      <c r="AG87" s="116">
        <f t="shared" si="121"/>
        <v>74.77609308885755</v>
      </c>
      <c r="AH87" s="116">
        <f t="shared" si="121"/>
        <v>185.8756836477601</v>
      </c>
      <c r="AI87" s="116">
        <f t="shared" si="121"/>
        <v>125.90835539864666</v>
      </c>
      <c r="AK87" s="156">
        <f>AVERAGE(AD87:AI87)</f>
        <v>101.89586484696854</v>
      </c>
      <c r="AM87" s="520" t="s">
        <v>10</v>
      </c>
      <c r="AN87" s="535">
        <v>3893</v>
      </c>
      <c r="AO87" s="535">
        <v>1521</v>
      </c>
      <c r="AP87" s="535">
        <v>831</v>
      </c>
      <c r="AQ87" s="535">
        <v>955</v>
      </c>
      <c r="AR87" s="535">
        <v>1049</v>
      </c>
      <c r="AS87" s="541">
        <v>1152</v>
      </c>
      <c r="AT87" s="482"/>
      <c r="AV87" s="11"/>
      <c r="AW87" s="11">
        <v>2016</v>
      </c>
      <c r="AX87" s="11">
        <v>2017</v>
      </c>
      <c r="AY87" s="11">
        <v>2018</v>
      </c>
      <c r="AZ87" s="11">
        <v>2019</v>
      </c>
      <c r="BA87" s="11">
        <v>2020</v>
      </c>
      <c r="BB87" s="11">
        <v>2021</v>
      </c>
    </row>
    <row r="88" spans="7:54" ht="15.6">
      <c r="G88" t="s">
        <v>226</v>
      </c>
      <c r="H88">
        <v>6572</v>
      </c>
      <c r="I88">
        <v>8840</v>
      </c>
      <c r="J88">
        <v>7417</v>
      </c>
      <c r="K88">
        <v>12920</v>
      </c>
      <c r="L88">
        <v>15094</v>
      </c>
      <c r="M88">
        <v>15995</v>
      </c>
      <c r="AB88" s="152" t="s">
        <v>313</v>
      </c>
      <c r="AC88" s="141" t="s">
        <v>418</v>
      </c>
      <c r="AD88" s="142">
        <f>Likviditetsanalyse!Q16</f>
        <v>15.648564826076381</v>
      </c>
      <c r="AE88" s="142">
        <f>Likviditetsanalyse!R16</f>
        <v>12.264232911248167</v>
      </c>
      <c r="AF88" s="142">
        <f>Likviditetsanalyse!S16</f>
        <v>10.83726489274706</v>
      </c>
      <c r="AG88" s="142">
        <f>Likviditetsanalyse!T16</f>
        <v>9.4992471439819877</v>
      </c>
      <c r="AH88" s="142">
        <f>Likviditetsanalyse!U16</f>
        <v>10.64683505168497</v>
      </c>
      <c r="AI88" s="142">
        <f>Likviditetsanalyse!V16</f>
        <v>50.972450989891165</v>
      </c>
      <c r="AJ88" s="142">
        <f>Likviditetsanalyse!W16</f>
        <v>53.916146372006835</v>
      </c>
      <c r="AK88" s="157">
        <f>AVERAGE(AD88:AJ88)</f>
        <v>23.39782031251951</v>
      </c>
      <c r="AM88" s="520" t="s">
        <v>12</v>
      </c>
      <c r="AN88" s="535">
        <v>7380</v>
      </c>
      <c r="AO88" s="535">
        <v>6463</v>
      </c>
      <c r="AP88" s="535">
        <v>6466</v>
      </c>
      <c r="AQ88" s="535">
        <v>6512</v>
      </c>
      <c r="AR88" s="535">
        <v>7069</v>
      </c>
      <c r="AS88" s="541">
        <v>6754</v>
      </c>
      <c r="AT88" s="542"/>
      <c r="AV88" t="s">
        <v>37</v>
      </c>
      <c r="AW88">
        <f>8975</f>
        <v>8975</v>
      </c>
      <c r="AX88">
        <f>8129</f>
        <v>8129</v>
      </c>
      <c r="AY88">
        <f>6917</f>
        <v>6917</v>
      </c>
      <c r="AZ88">
        <f>7131</f>
        <v>7131</v>
      </c>
      <c r="BA88">
        <f>7719</f>
        <v>7719</v>
      </c>
      <c r="BB88">
        <f>9496</f>
        <v>9496</v>
      </c>
    </row>
    <row r="89" spans="7:54" ht="15.6">
      <c r="G89" t="s">
        <v>227</v>
      </c>
      <c r="H89">
        <v>13699</v>
      </c>
      <c r="I89">
        <v>12735</v>
      </c>
      <c r="J89">
        <v>15721</v>
      </c>
      <c r="K89">
        <v>24467</v>
      </c>
      <c r="L89">
        <v>30323</v>
      </c>
      <c r="M89">
        <v>43546</v>
      </c>
      <c r="O89">
        <f>_xlfn.VAR.S(H89:M89)</f>
        <v>144349004.16666669</v>
      </c>
      <c r="P89">
        <f>SQRT(O89)</f>
        <v>12014.533039892423</v>
      </c>
      <c r="AB89" s="151"/>
      <c r="AC89" s="137" t="s">
        <v>291</v>
      </c>
      <c r="AD89" s="116">
        <f t="shared" ref="AD89:AI89" si="122">AF15</f>
        <v>15.468873543830055</v>
      </c>
      <c r="AE89" s="116">
        <f t="shared" si="122"/>
        <v>23.903953540317175</v>
      </c>
      <c r="AF89" s="116">
        <f t="shared" si="122"/>
        <v>21.795537960328257</v>
      </c>
      <c r="AG89" s="116">
        <f t="shared" si="122"/>
        <v>14.194793189440194</v>
      </c>
      <c r="AH89" s="116">
        <f t="shared" si="122"/>
        <v>11.988144981051404</v>
      </c>
      <c r="AI89" s="116">
        <f t="shared" si="122"/>
        <v>2.3663387359331871</v>
      </c>
      <c r="AK89" s="156">
        <f>AVERAGE(AD89:AI89)</f>
        <v>14.952940325150045</v>
      </c>
      <c r="AM89" s="520" t="s">
        <v>14</v>
      </c>
      <c r="AN89" s="542"/>
      <c r="AO89" s="542"/>
      <c r="AP89" s="542"/>
      <c r="AQ89" s="542"/>
      <c r="AR89" s="542"/>
      <c r="AS89" s="542"/>
      <c r="AT89" s="542"/>
      <c r="AV89" t="s">
        <v>38</v>
      </c>
      <c r="AW89">
        <f>9021</f>
        <v>9021</v>
      </c>
      <c r="AX89">
        <f>11301</f>
        <v>11301</v>
      </c>
      <c r="AY89">
        <f>13347</f>
        <v>13347</v>
      </c>
      <c r="AZ89">
        <f>8170</f>
        <v>8170</v>
      </c>
      <c r="BA89">
        <f>9690</f>
        <v>9690</v>
      </c>
      <c r="BB89">
        <f>7385</f>
        <v>7385</v>
      </c>
    </row>
    <row r="90" spans="7:54" ht="15" thickBot="1">
      <c r="G90" s="5" t="s">
        <v>162</v>
      </c>
      <c r="H90" s="5">
        <f t="shared" ref="H90:M90" si="123">H87-H88-H89</f>
        <v>4410</v>
      </c>
      <c r="I90" s="5">
        <f t="shared" si="123"/>
        <v>5804</v>
      </c>
      <c r="J90" s="5">
        <f t="shared" si="123"/>
        <v>5102</v>
      </c>
      <c r="K90" s="5">
        <f t="shared" si="123"/>
        <v>6647</v>
      </c>
      <c r="L90" s="5">
        <f t="shared" si="123"/>
        <v>12824</v>
      </c>
      <c r="M90" s="5">
        <f t="shared" si="123"/>
        <v>9376</v>
      </c>
      <c r="AB90" s="152" t="s">
        <v>385</v>
      </c>
      <c r="AC90" s="141" t="s">
        <v>418</v>
      </c>
      <c r="AD90" s="142">
        <f>Likviditetsanalyse!Q25</f>
        <v>73.460102802594534</v>
      </c>
      <c r="AE90" s="142">
        <f>Likviditetsanalyse!R25</f>
        <v>75.896348160351451</v>
      </c>
      <c r="AF90" s="142">
        <f>Likviditetsanalyse!S25</f>
        <v>117.51417298705279</v>
      </c>
      <c r="AG90" s="142">
        <f>Likviditetsanalyse!T25</f>
        <v>100.69798561151079</v>
      </c>
      <c r="AH90" s="142">
        <f>Likviditetsanalyse!U25</f>
        <v>105.05055805857054</v>
      </c>
      <c r="AI90" s="142">
        <f>Likviditetsanalyse!V25</f>
        <v>103.34293805449937</v>
      </c>
      <c r="AJ90" s="142">
        <f>Likviditetsanalyse!W25</f>
        <v>111.01389177418791</v>
      </c>
      <c r="AK90" s="157">
        <f>AVERAGE(AD90:AJ90)</f>
        <v>98.13942820696677</v>
      </c>
      <c r="AM90" s="520" t="s">
        <v>247</v>
      </c>
      <c r="AN90" s="482"/>
      <c r="AO90" s="482"/>
      <c r="AP90" s="482"/>
      <c r="AQ90" s="482"/>
      <c r="AR90" s="482"/>
      <c r="AS90" s="538"/>
      <c r="AT90" s="482"/>
      <c r="AV90" t="s">
        <v>39</v>
      </c>
      <c r="AW90">
        <f t="shared" ref="AW90:BB90" si="124">AW68*0.02</f>
        <v>2331.1799999999998</v>
      </c>
      <c r="AX90" s="22">
        <f t="shared" si="124"/>
        <v>2447.12</v>
      </c>
      <c r="AY90" s="22">
        <f t="shared" si="124"/>
        <v>2546.6799999999998</v>
      </c>
      <c r="AZ90" s="22">
        <f t="shared" si="124"/>
        <v>2382.36</v>
      </c>
      <c r="BA90" s="22">
        <f t="shared" si="124"/>
        <v>2513.86</v>
      </c>
      <c r="BB90" s="22">
        <f t="shared" si="124"/>
        <v>2550.88</v>
      </c>
    </row>
    <row r="91" spans="7:54" ht="15" thickBot="1">
      <c r="AB91" s="151"/>
      <c r="AC91" s="137" t="s">
        <v>291</v>
      </c>
      <c r="AD91" s="116">
        <f t="shared" ref="AD91:AI91" si="125">AF24</f>
        <v>132.33464805825244</v>
      </c>
      <c r="AE91" s="116">
        <f t="shared" si="125"/>
        <v>168.90587815326035</v>
      </c>
      <c r="AF91" s="116">
        <f t="shared" si="125"/>
        <v>264.32503043831173</v>
      </c>
      <c r="AG91" s="116">
        <f t="shared" si="125"/>
        <v>136.56859609849698</v>
      </c>
      <c r="AH91" s="116">
        <f t="shared" si="125"/>
        <v>119.03955009027473</v>
      </c>
      <c r="AI91" s="116">
        <f t="shared" si="125"/>
        <v>87.433533675092804</v>
      </c>
      <c r="AK91" s="156">
        <f>AVERAGE(AD91:AI91)</f>
        <v>151.43453941894816</v>
      </c>
      <c r="AM91" s="482" t="s">
        <v>246</v>
      </c>
      <c r="AN91" s="482"/>
      <c r="AO91" s="482"/>
      <c r="AP91" s="482"/>
      <c r="AQ91" s="482"/>
      <c r="AR91" s="482"/>
      <c r="AS91" s="543"/>
      <c r="AT91" s="482"/>
      <c r="AV91" s="5" t="s">
        <v>40</v>
      </c>
      <c r="AW91" s="40">
        <f>SUM(AW87:AW90)</f>
        <v>22343.18</v>
      </c>
      <c r="AX91" s="84">
        <f>AX88+AX89+AX90</f>
        <v>21877.119999999999</v>
      </c>
      <c r="AY91" s="84">
        <f t="shared" ref="AY91:BB91" si="126">AY88+AY89+AY90</f>
        <v>22810.68</v>
      </c>
      <c r="AZ91" s="84">
        <f t="shared" si="126"/>
        <v>17683.36</v>
      </c>
      <c r="BA91" s="84">
        <f t="shared" si="126"/>
        <v>19922.86</v>
      </c>
      <c r="BB91" s="84">
        <f t="shared" si="126"/>
        <v>19431.88</v>
      </c>
    </row>
    <row r="92" spans="7:54" ht="15" thickBot="1">
      <c r="G92" s="76" t="s">
        <v>386</v>
      </c>
      <c r="H92" s="76">
        <v>2016</v>
      </c>
      <c r="I92" s="76">
        <v>2017</v>
      </c>
      <c r="J92" s="76">
        <v>2018</v>
      </c>
      <c r="K92" s="76">
        <v>2019</v>
      </c>
      <c r="L92" s="76">
        <v>2020</v>
      </c>
      <c r="M92" s="76">
        <v>2021</v>
      </c>
      <c r="AB92" s="503" t="s">
        <v>328</v>
      </c>
      <c r="AC92" s="497" t="s">
        <v>418</v>
      </c>
      <c r="AD92" s="498">
        <f>Likviditetsanalyse!Q27</f>
        <v>36.979224477326511</v>
      </c>
      <c r="AE92" s="498">
        <f>Likviditetsanalyse!R27</f>
        <v>34.316566107215934</v>
      </c>
      <c r="AF92" s="498">
        <f>Likviditetsanalyse!S27</f>
        <v>8.8013302092458332</v>
      </c>
      <c r="AG92" s="498">
        <f>Likviditetsanalyse!T27</f>
        <v>7.8944405466301788</v>
      </c>
      <c r="AH92" s="498">
        <f>Likviditetsanalyse!U27</f>
        <v>22.678903995903298</v>
      </c>
      <c r="AI92" s="498">
        <f>Likviditetsanalyse!V27</f>
        <v>47.988060714444401</v>
      </c>
      <c r="AJ92" s="498">
        <f>Likviditetsanalyse!W27</f>
        <v>16.182375546067377</v>
      </c>
      <c r="AK92" s="499">
        <f>AVERAGE(AD92:AJ92)</f>
        <v>24.977271656690505</v>
      </c>
      <c r="AM92" s="536" t="s">
        <v>254</v>
      </c>
      <c r="AN92" s="536">
        <f t="shared" ref="AN92:AS92" si="127">SUM(AN87:AN91)</f>
        <v>11273</v>
      </c>
      <c r="AO92" s="536">
        <f t="shared" si="127"/>
        <v>7984</v>
      </c>
      <c r="AP92" s="536">
        <f t="shared" si="127"/>
        <v>7297</v>
      </c>
      <c r="AQ92" s="536">
        <f t="shared" si="127"/>
        <v>7467</v>
      </c>
      <c r="AR92" s="536">
        <f t="shared" si="127"/>
        <v>8118</v>
      </c>
      <c r="AS92" s="536">
        <f t="shared" si="127"/>
        <v>7906</v>
      </c>
      <c r="AT92" s="536"/>
      <c r="AV92" t="s">
        <v>292</v>
      </c>
      <c r="AW92">
        <f>10238</f>
        <v>10238</v>
      </c>
      <c r="AX92">
        <f>10133</f>
        <v>10133</v>
      </c>
      <c r="AY92">
        <f>10974</f>
        <v>10974</v>
      </c>
      <c r="AZ92">
        <f>8751</f>
        <v>8751</v>
      </c>
      <c r="BA92">
        <f>10834</f>
        <v>10834</v>
      </c>
      <c r="BB92">
        <f>7867</f>
        <v>7867</v>
      </c>
    </row>
    <row r="93" spans="7:54">
      <c r="G93" t="s">
        <v>220</v>
      </c>
      <c r="H93">
        <f>Vekstanalyse!L37</f>
        <v>22200</v>
      </c>
      <c r="I93">
        <f>Vekstanalyse!M37</f>
        <v>19379</v>
      </c>
      <c r="J93">
        <f>Vekstanalyse!N37</f>
        <v>24681</v>
      </c>
      <c r="K93">
        <f>Vekstanalyse!O37</f>
        <v>24688</v>
      </c>
      <c r="L93">
        <f>Vekstanalyse!P37</f>
        <v>29128</v>
      </c>
      <c r="M93">
        <f>Vekstanalyse!Q37</f>
        <v>34215</v>
      </c>
      <c r="AB93" s="503"/>
      <c r="AC93" s="500" t="s">
        <v>291</v>
      </c>
      <c r="AD93" s="501">
        <f t="shared" ref="AD93:AI93" si="128">AF26</f>
        <v>-33.10161074346</v>
      </c>
      <c r="AE93" s="501">
        <f t="shared" si="128"/>
        <v>-84.097056315671296</v>
      </c>
      <c r="AF93" s="501">
        <f t="shared" si="128"/>
        <v>-162.38346759967087</v>
      </c>
      <c r="AG93" s="501">
        <f t="shared" si="128"/>
        <v>-47.597709820199242</v>
      </c>
      <c r="AH93" s="501">
        <f t="shared" si="128"/>
        <v>78.82427853853676</v>
      </c>
      <c r="AI93" s="501">
        <f t="shared" si="128"/>
        <v>40.841160459487043</v>
      </c>
      <c r="AJ93" s="501"/>
      <c r="AK93" s="502">
        <f>AVERAGE(AD93:AI93)</f>
        <v>-34.585734246829603</v>
      </c>
      <c r="AM93" s="520" t="s">
        <v>257</v>
      </c>
      <c r="AN93" s="541">
        <v>9496</v>
      </c>
      <c r="AO93" s="535">
        <v>7719</v>
      </c>
      <c r="AP93" s="535">
        <v>7131</v>
      </c>
      <c r="AQ93" s="535">
        <v>6917</v>
      </c>
      <c r="AR93" s="535">
        <v>8129</v>
      </c>
      <c r="AS93" s="535">
        <v>8975</v>
      </c>
      <c r="AT93" s="535"/>
      <c r="AV93" t="s">
        <v>41</v>
      </c>
      <c r="AW93">
        <f>668</f>
        <v>668</v>
      </c>
      <c r="AX93">
        <f>692</f>
        <v>692</v>
      </c>
      <c r="AY93">
        <f>673</f>
        <v>673</v>
      </c>
      <c r="AZ93">
        <f>1581</f>
        <v>1581</v>
      </c>
      <c r="BA93">
        <f>1675</f>
        <v>1675</v>
      </c>
      <c r="BB93">
        <f>1684</f>
        <v>1684</v>
      </c>
    </row>
    <row r="94" spans="7:54">
      <c r="G94" t="s">
        <v>342</v>
      </c>
      <c r="H94">
        <v>194</v>
      </c>
      <c r="I94">
        <v>129</v>
      </c>
      <c r="J94">
        <v>209</v>
      </c>
      <c r="K94">
        <v>144</v>
      </c>
      <c r="L94">
        <v>159</v>
      </c>
      <c r="M94">
        <v>109</v>
      </c>
      <c r="AC94" s="468"/>
      <c r="AD94" s="468"/>
      <c r="AE94" s="468"/>
      <c r="AF94" s="468"/>
      <c r="AG94" s="468"/>
      <c r="AH94" s="468"/>
      <c r="AI94" s="468"/>
      <c r="AJ94" s="468"/>
      <c r="AM94" s="520" t="s">
        <v>262</v>
      </c>
      <c r="AN94" s="535">
        <v>19329</v>
      </c>
      <c r="AO94" s="535">
        <v>37009</v>
      </c>
      <c r="AP94" s="535">
        <v>16533</v>
      </c>
      <c r="AQ94" s="535">
        <v>13580</v>
      </c>
      <c r="AR94" s="535">
        <v>15675</v>
      </c>
      <c r="AS94" s="535">
        <v>24966</v>
      </c>
      <c r="AT94" s="535"/>
      <c r="AV94" t="s">
        <v>42</v>
      </c>
      <c r="AW94">
        <f>1563</f>
        <v>1563</v>
      </c>
      <c r="AX94">
        <f>470</f>
        <v>470</v>
      </c>
      <c r="AY94">
        <v>0</v>
      </c>
      <c r="AZ94">
        <v>0</v>
      </c>
      <c r="BA94">
        <f>5000</f>
        <v>5000</v>
      </c>
      <c r="BB94">
        <f>0</f>
        <v>0</v>
      </c>
    </row>
    <row r="95" spans="7:54">
      <c r="G95" t="s">
        <v>50</v>
      </c>
      <c r="H95">
        <f>Vekstanalyse!L41</f>
        <v>5803</v>
      </c>
      <c r="I95">
        <f>Vekstanalyse!M41</f>
        <v>5812</v>
      </c>
      <c r="J95">
        <f>Vekstanalyse!N41</f>
        <v>6677</v>
      </c>
      <c r="K95">
        <f>Vekstanalyse!O41</f>
        <v>6949</v>
      </c>
      <c r="L95">
        <f>Vekstanalyse!P41</f>
        <v>5647</v>
      </c>
      <c r="M95">
        <f>Vekstanalyse!Q41</f>
        <v>6982</v>
      </c>
      <c r="AJ95">
        <f>365/AJ92</f>
        <v>22.55540288018479</v>
      </c>
      <c r="AM95" s="520" t="s">
        <v>266</v>
      </c>
      <c r="AN95" s="541">
        <v>7385</v>
      </c>
      <c r="AO95" s="535">
        <v>9690</v>
      </c>
      <c r="AP95" s="535">
        <v>8170</v>
      </c>
      <c r="AQ95" s="535">
        <v>13347</v>
      </c>
      <c r="AR95" s="535">
        <v>11301</v>
      </c>
      <c r="AS95" s="535">
        <v>13286</v>
      </c>
      <c r="AT95" s="535"/>
      <c r="AV95" t="s">
        <v>43</v>
      </c>
      <c r="AW95">
        <f>8827</f>
        <v>8827</v>
      </c>
      <c r="AX95">
        <f>10889</f>
        <v>10889</v>
      </c>
      <c r="AY95">
        <f>7733</f>
        <v>7733</v>
      </c>
      <c r="AZ95">
        <f>6355</f>
        <v>6355</v>
      </c>
      <c r="BA95">
        <f>6371</f>
        <v>6371</v>
      </c>
      <c r="BB95">
        <f>6363</f>
        <v>6363</v>
      </c>
    </row>
    <row r="96" spans="7:54" ht="15" thickBot="1">
      <c r="G96" s="5" t="s">
        <v>224</v>
      </c>
      <c r="H96" s="5">
        <f t="shared" ref="H96:M96" si="129">H93+H94-H95</f>
        <v>16591</v>
      </c>
      <c r="I96" s="5">
        <f t="shared" si="129"/>
        <v>13696</v>
      </c>
      <c r="J96" s="5">
        <f t="shared" si="129"/>
        <v>18213</v>
      </c>
      <c r="K96" s="5">
        <f t="shared" si="129"/>
        <v>17883</v>
      </c>
      <c r="L96" s="5">
        <f t="shared" si="129"/>
        <v>23640</v>
      </c>
      <c r="M96" s="5">
        <f t="shared" si="129"/>
        <v>27342</v>
      </c>
      <c r="AJ96">
        <f>365/AJ95</f>
        <v>16.182375546067377</v>
      </c>
      <c r="AM96" s="482" t="s">
        <v>256</v>
      </c>
      <c r="AN96" s="541">
        <v>-7867</v>
      </c>
      <c r="AO96" s="535">
        <v>-10834</v>
      </c>
      <c r="AP96" s="535">
        <v>-8751</v>
      </c>
      <c r="AQ96" s="535">
        <v>-10974</v>
      </c>
      <c r="AR96" s="535">
        <v>-10133</v>
      </c>
      <c r="AS96" s="541">
        <v>-10238</v>
      </c>
      <c r="AT96" s="482"/>
      <c r="AV96" s="5" t="s">
        <v>44</v>
      </c>
      <c r="AW96" s="40">
        <f>SUM(AW92:AW95)</f>
        <v>21296</v>
      </c>
      <c r="AX96" s="40">
        <f>SUM(AX92:AX95)</f>
        <v>22184</v>
      </c>
      <c r="AY96" s="40">
        <f t="shared" ref="AY96:BB96" si="130">SUM(AY92:AY95)</f>
        <v>19380</v>
      </c>
      <c r="AZ96" s="40">
        <f t="shared" si="130"/>
        <v>16687</v>
      </c>
      <c r="BA96" s="40">
        <f t="shared" si="130"/>
        <v>23880</v>
      </c>
      <c r="BB96" s="40">
        <f t="shared" si="130"/>
        <v>15914</v>
      </c>
    </row>
    <row r="97" spans="7:55">
      <c r="G97" t="s">
        <v>226</v>
      </c>
      <c r="H97">
        <v>6319</v>
      </c>
      <c r="I97">
        <v>6438</v>
      </c>
      <c r="J97">
        <v>7032</v>
      </c>
      <c r="K97">
        <v>7086</v>
      </c>
      <c r="L97">
        <v>7405</v>
      </c>
      <c r="M97">
        <v>8999</v>
      </c>
      <c r="AM97" s="482" t="s">
        <v>260</v>
      </c>
      <c r="AN97" s="541">
        <v>-1684</v>
      </c>
      <c r="AO97" s="535">
        <v>-1675</v>
      </c>
      <c r="AP97" s="535">
        <v>-1581</v>
      </c>
      <c r="AQ97" s="535">
        <v>-673</v>
      </c>
      <c r="AR97" s="535">
        <v>-692</v>
      </c>
      <c r="AS97" s="535">
        <v>-668</v>
      </c>
      <c r="AT97" s="535"/>
    </row>
    <row r="98" spans="7:55">
      <c r="G98" t="s">
        <v>227</v>
      </c>
      <c r="H98">
        <v>6846</v>
      </c>
      <c r="I98">
        <v>6138</v>
      </c>
      <c r="J98">
        <v>7064</v>
      </c>
      <c r="K98">
        <v>6523</v>
      </c>
      <c r="L98">
        <v>10338</v>
      </c>
      <c r="M98">
        <v>11823</v>
      </c>
      <c r="O98">
        <f>_xlfn.VAR.S(H98:M98)</f>
        <v>5569730.7999999998</v>
      </c>
      <c r="P98">
        <f>SQRT(O98)</f>
        <v>2360.0277117017081</v>
      </c>
      <c r="AM98" s="482" t="s">
        <v>268</v>
      </c>
      <c r="AN98" s="541">
        <v>-6363</v>
      </c>
      <c r="AO98" s="535">
        <v>-6371</v>
      </c>
      <c r="AP98" s="535">
        <v>-6355</v>
      </c>
      <c r="AQ98" s="535">
        <v>-7733</v>
      </c>
      <c r="AR98" s="535">
        <v>-10889</v>
      </c>
      <c r="AS98" s="535">
        <v>-8827</v>
      </c>
      <c r="AT98" s="535"/>
      <c r="AV98" t="s">
        <v>36</v>
      </c>
      <c r="AW98">
        <f>AW91-AW96</f>
        <v>1047.1800000000003</v>
      </c>
      <c r="AX98" s="22">
        <f>AX91-AX96</f>
        <v>-306.88000000000102</v>
      </c>
      <c r="AY98" s="22">
        <f t="shared" ref="AY98:BB98" si="131">AY91-AY96</f>
        <v>3430.6800000000003</v>
      </c>
      <c r="AZ98" s="22">
        <f t="shared" si="131"/>
        <v>996.36000000000058</v>
      </c>
      <c r="BA98" s="22">
        <f t="shared" si="131"/>
        <v>-3957.1399999999994</v>
      </c>
      <c r="BB98" s="22">
        <f t="shared" si="131"/>
        <v>3517.880000000001</v>
      </c>
    </row>
    <row r="99" spans="7:55" ht="16.2" thickBot="1">
      <c r="G99" s="5" t="s">
        <v>162</v>
      </c>
      <c r="H99" s="5">
        <f t="shared" ref="H99:M99" si="132">H96-H97-H98</f>
        <v>3426</v>
      </c>
      <c r="I99" s="5">
        <f t="shared" si="132"/>
        <v>1120</v>
      </c>
      <c r="J99" s="5">
        <f t="shared" si="132"/>
        <v>4117</v>
      </c>
      <c r="K99" s="5">
        <f t="shared" si="132"/>
        <v>4274</v>
      </c>
      <c r="L99" s="5">
        <f t="shared" si="132"/>
        <v>5897</v>
      </c>
      <c r="M99" s="5">
        <f t="shared" si="132"/>
        <v>6520</v>
      </c>
      <c r="AM99" s="482" t="s">
        <v>271</v>
      </c>
      <c r="AN99" s="542">
        <v>0</v>
      </c>
      <c r="AO99" s="542">
        <v>-3902</v>
      </c>
      <c r="AP99" s="542" t="s">
        <v>387</v>
      </c>
      <c r="AQ99" s="542">
        <v>0</v>
      </c>
      <c r="AR99" s="542">
        <v>-470</v>
      </c>
      <c r="AS99" s="544">
        <v>-1563</v>
      </c>
      <c r="AT99" s="482"/>
      <c r="AV99" t="s">
        <v>46</v>
      </c>
      <c r="AW99">
        <f>7906</f>
        <v>7906</v>
      </c>
      <c r="AX99">
        <f>8118</f>
        <v>8118</v>
      </c>
      <c r="AY99">
        <f>7467</f>
        <v>7467</v>
      </c>
      <c r="AZ99">
        <f>7297</f>
        <v>7297</v>
      </c>
      <c r="BA99">
        <f>7984</f>
        <v>7984</v>
      </c>
      <c r="BB99">
        <f>11273</f>
        <v>11273</v>
      </c>
    </row>
    <row r="100" spans="7:55" ht="15" thickBot="1">
      <c r="AM100" s="536" t="s">
        <v>36</v>
      </c>
      <c r="AN100" s="539">
        <f t="shared" ref="AN100:AS100" si="133">SUM(AN93:AN99)</f>
        <v>20296</v>
      </c>
      <c r="AO100" s="539">
        <f t="shared" si="133"/>
        <v>31636</v>
      </c>
      <c r="AP100" s="539">
        <f t="shared" si="133"/>
        <v>15147</v>
      </c>
      <c r="AQ100" s="539">
        <f t="shared" si="133"/>
        <v>14464</v>
      </c>
      <c r="AR100" s="539">
        <f t="shared" si="133"/>
        <v>12921</v>
      </c>
      <c r="AS100" s="539">
        <f t="shared" si="133"/>
        <v>25931</v>
      </c>
      <c r="AT100" s="539"/>
      <c r="AV100" t="s">
        <v>48</v>
      </c>
      <c r="AW100">
        <f>AW98+AW99</f>
        <v>8953.18</v>
      </c>
      <c r="AX100">
        <f t="shared" ref="AX100:BB100" si="134">AX98+AX99</f>
        <v>7811.119999999999</v>
      </c>
      <c r="AY100">
        <f t="shared" si="134"/>
        <v>10897.68</v>
      </c>
      <c r="AZ100">
        <f t="shared" si="134"/>
        <v>8293.36</v>
      </c>
      <c r="BA100">
        <f t="shared" si="134"/>
        <v>4026.8600000000006</v>
      </c>
      <c r="BB100">
        <f t="shared" si="134"/>
        <v>14790.880000000001</v>
      </c>
    </row>
    <row r="101" spans="7:55">
      <c r="G101" s="76" t="s">
        <v>388</v>
      </c>
      <c r="H101" s="76">
        <v>2016</v>
      </c>
      <c r="I101" s="76">
        <v>2017</v>
      </c>
      <c r="J101" s="76">
        <v>2018</v>
      </c>
      <c r="K101" s="76">
        <v>2019</v>
      </c>
      <c r="L101" s="76">
        <v>2020</v>
      </c>
      <c r="M101" s="76">
        <v>2021</v>
      </c>
      <c r="AM101" s="482"/>
      <c r="AN101" s="482"/>
      <c r="AO101" s="482"/>
      <c r="AP101" s="482"/>
      <c r="AQ101" s="482"/>
      <c r="AR101" s="482"/>
      <c r="AS101" s="482"/>
      <c r="AT101" s="482"/>
    </row>
    <row r="102" spans="7:55" ht="15" thickBot="1">
      <c r="G102" t="s">
        <v>220</v>
      </c>
      <c r="H102">
        <f>Vekstanalyse!L50</f>
        <v>37864</v>
      </c>
      <c r="I102">
        <f>Vekstanalyse!M50</f>
        <v>50141</v>
      </c>
      <c r="J102">
        <f>Vekstanalyse!N50</f>
        <v>45600</v>
      </c>
      <c r="K102">
        <f>Vekstanalyse!O50</f>
        <v>37834</v>
      </c>
      <c r="L102">
        <f>Vekstanalyse!P50</f>
        <v>57546</v>
      </c>
      <c r="M102">
        <f>Vekstanalyse!Q50</f>
        <v>49867</v>
      </c>
      <c r="AM102" s="536" t="s">
        <v>359</v>
      </c>
      <c r="AN102" s="539">
        <f t="shared" ref="AN102:AS102" si="135">AN92+AN100</f>
        <v>31569</v>
      </c>
      <c r="AO102" s="539">
        <f t="shared" si="135"/>
        <v>39620</v>
      </c>
      <c r="AP102" s="539">
        <f t="shared" si="135"/>
        <v>22444</v>
      </c>
      <c r="AQ102" s="539">
        <f t="shared" si="135"/>
        <v>21931</v>
      </c>
      <c r="AR102" s="539">
        <f t="shared" si="135"/>
        <v>21039</v>
      </c>
      <c r="AS102" s="539">
        <f t="shared" si="135"/>
        <v>33837</v>
      </c>
      <c r="AT102" s="539"/>
      <c r="AW102">
        <v>2016</v>
      </c>
      <c r="AX102">
        <v>2017</v>
      </c>
      <c r="AY102">
        <v>2018</v>
      </c>
      <c r="AZ102">
        <v>2019</v>
      </c>
      <c r="BA102">
        <v>2020</v>
      </c>
      <c r="BB102">
        <v>2021</v>
      </c>
    </row>
    <row r="103" spans="7:55">
      <c r="G103" t="s">
        <v>342</v>
      </c>
      <c r="H103">
        <v>18937</v>
      </c>
      <c r="I103">
        <v>369</v>
      </c>
      <c r="J103">
        <v>879</v>
      </c>
      <c r="K103">
        <v>1521</v>
      </c>
      <c r="L103">
        <v>495</v>
      </c>
      <c r="M103">
        <v>961</v>
      </c>
      <c r="AM103" s="482"/>
      <c r="AN103" s="482"/>
      <c r="AO103" s="482"/>
      <c r="AP103" s="482"/>
      <c r="AQ103" s="482"/>
      <c r="AR103" s="482"/>
      <c r="AS103" s="482"/>
      <c r="AT103" s="482"/>
      <c r="AV103" t="s">
        <v>66</v>
      </c>
      <c r="AW103" s="6">
        <f t="shared" ref="AW103:BB103" si="136">AW81</f>
        <v>2746.2590320381732</v>
      </c>
      <c r="AX103" s="6">
        <f t="shared" si="136"/>
        <v>1971.3497479643272</v>
      </c>
      <c r="AY103" s="6">
        <f t="shared" si="136"/>
        <v>-415.26153846153846</v>
      </c>
      <c r="AZ103" s="6">
        <f t="shared" si="136"/>
        <v>166.77611940298507</v>
      </c>
      <c r="BA103" s="6">
        <f t="shared" si="136"/>
        <v>14137.0944</v>
      </c>
      <c r="BB103" s="6">
        <f t="shared" si="136"/>
        <v>-819.41563393708293</v>
      </c>
    </row>
    <row r="104" spans="7:55">
      <c r="G104" t="s">
        <v>50</v>
      </c>
      <c r="H104">
        <f>Vekstanalyse!L54</f>
        <v>22202</v>
      </c>
      <c r="I104">
        <f>Vekstanalyse!M54</f>
        <v>20027</v>
      </c>
      <c r="J104">
        <f>Vekstanalyse!N54</f>
        <v>20102</v>
      </c>
      <c r="K104">
        <f>Vekstanalyse!O54</f>
        <v>18362</v>
      </c>
      <c r="L104">
        <f>Vekstanalyse!P54</f>
        <v>20096</v>
      </c>
      <c r="M104">
        <f>Vekstanalyse!Q54</f>
        <v>25335</v>
      </c>
      <c r="AM104" s="482"/>
      <c r="AN104" s="482"/>
      <c r="AO104" s="482"/>
      <c r="AP104" s="482"/>
      <c r="AQ104" s="482"/>
      <c r="AR104" s="482"/>
      <c r="AS104" s="482"/>
      <c r="AT104" s="482"/>
      <c r="AV104" t="s">
        <v>48</v>
      </c>
      <c r="AW104">
        <f t="shared" ref="AW104:BB104" si="137">AW100</f>
        <v>8953.18</v>
      </c>
      <c r="AX104">
        <f t="shared" si="137"/>
        <v>7811.119999999999</v>
      </c>
      <c r="AY104">
        <f t="shared" si="137"/>
        <v>10897.68</v>
      </c>
      <c r="AZ104">
        <f t="shared" si="137"/>
        <v>8293.36</v>
      </c>
      <c r="BA104">
        <f t="shared" si="137"/>
        <v>4026.8600000000006</v>
      </c>
      <c r="BB104">
        <f t="shared" si="137"/>
        <v>14790.880000000001</v>
      </c>
    </row>
    <row r="105" spans="7:55" ht="15" thickBot="1">
      <c r="G105" s="5" t="s">
        <v>224</v>
      </c>
      <c r="H105" s="5">
        <f t="shared" ref="H105:M105" si="138">H102+H103-H104</f>
        <v>34599</v>
      </c>
      <c r="I105" s="5">
        <f t="shared" si="138"/>
        <v>30483</v>
      </c>
      <c r="J105" s="5">
        <f t="shared" si="138"/>
        <v>26377</v>
      </c>
      <c r="K105" s="5">
        <f t="shared" si="138"/>
        <v>20993</v>
      </c>
      <c r="L105" s="5">
        <f t="shared" si="138"/>
        <v>37945</v>
      </c>
      <c r="M105" s="5">
        <f t="shared" si="138"/>
        <v>25493</v>
      </c>
      <c r="AM105" s="482"/>
      <c r="AN105" s="482"/>
      <c r="AO105" s="482"/>
      <c r="AP105" s="482"/>
      <c r="AQ105" s="482"/>
      <c r="AR105" s="482"/>
      <c r="AS105" s="482"/>
      <c r="AT105" s="482"/>
      <c r="AV105" t="s">
        <v>350</v>
      </c>
      <c r="AX105" s="60">
        <f>(AX103)/((AX104+AW104)/2)</f>
        <v>0.23518426035853895</v>
      </c>
      <c r="AY105" s="60">
        <f t="shared" ref="AY105:BB105" si="139">(AY103)/((AY104+AX104)/2)</f>
        <v>-4.4392108362004884E-2</v>
      </c>
      <c r="AZ105" s="60">
        <f t="shared" si="139"/>
        <v>1.7380623395395461E-2</v>
      </c>
      <c r="BA105" s="60">
        <f t="shared" si="139"/>
        <v>2.2949418760379277</v>
      </c>
      <c r="BB105" s="60">
        <f t="shared" si="139"/>
        <v>-8.7089696630635011E-2</v>
      </c>
      <c r="BC105" s="60">
        <f>AVERAGE(AX105:BB105)</f>
        <v>0.48320499095984443</v>
      </c>
    </row>
    <row r="106" spans="7:55">
      <c r="G106" t="s">
        <v>226</v>
      </c>
      <c r="H106">
        <v>13688</v>
      </c>
      <c r="I106">
        <v>16460</v>
      </c>
      <c r="J106">
        <v>16598</v>
      </c>
      <c r="K106">
        <v>16076</v>
      </c>
      <c r="L106">
        <v>14852</v>
      </c>
      <c r="M106">
        <v>17373</v>
      </c>
      <c r="AM106" s="482" t="s">
        <v>350</v>
      </c>
      <c r="AN106" s="545">
        <f>(AN76)/((AN102+AO102)/2)</f>
        <v>1.1844842884536074E-2</v>
      </c>
      <c r="AO106" s="545">
        <f>(AO76)/((AO102+AP102)/2)</f>
        <v>0.67095379826333512</v>
      </c>
      <c r="AP106" s="545">
        <f>(AP76)/((AP102+AQ102)/2)</f>
        <v>1.6126417038818276E-2</v>
      </c>
      <c r="AQ106" s="545">
        <f>(AQ76)/((AQ102+AR102)/2)</f>
        <v>3.5206262852085141E-2</v>
      </c>
      <c r="AR106" s="545">
        <f>(AR76)/((AR102+AS102)/2)</f>
        <v>0.18077270588524894</v>
      </c>
      <c r="AS106" s="545" t="s">
        <v>389</v>
      </c>
      <c r="AT106" s="482"/>
      <c r="AU106" s="51"/>
    </row>
    <row r="107" spans="7:55">
      <c r="G107" t="s">
        <v>227</v>
      </c>
      <c r="H107">
        <v>8807</v>
      </c>
      <c r="I107">
        <v>7598</v>
      </c>
      <c r="J107">
        <v>7187</v>
      </c>
      <c r="K107">
        <v>8228</v>
      </c>
      <c r="L107">
        <v>6088</v>
      </c>
      <c r="M107">
        <v>7072</v>
      </c>
      <c r="O107">
        <f>_xlfn.VAR.S(H107:M107)</f>
        <v>904533.46666666272</v>
      </c>
      <c r="P107">
        <f>SQRT(O107)</f>
        <v>951.06964343662173</v>
      </c>
      <c r="AM107" s="482"/>
      <c r="AN107" s="482"/>
      <c r="AO107" s="482"/>
      <c r="AP107" s="482"/>
      <c r="AQ107" s="482"/>
      <c r="AR107" s="482"/>
      <c r="AS107" s="482"/>
      <c r="AT107" s="545">
        <f>(AN106+AO106+AP106+AQ106+AR106)/5</f>
        <v>0.18298080538480471</v>
      </c>
      <c r="AU107" t="s">
        <v>390</v>
      </c>
    </row>
    <row r="108" spans="7:55" ht="15" thickBot="1">
      <c r="G108" s="5" t="s">
        <v>162</v>
      </c>
      <c r="H108" s="5">
        <f t="shared" ref="H108:M108" si="140">H105-H106-H107</f>
        <v>12104</v>
      </c>
      <c r="I108" s="5">
        <f t="shared" si="140"/>
        <v>6425</v>
      </c>
      <c r="J108" s="5">
        <f t="shared" si="140"/>
        <v>2592</v>
      </c>
      <c r="K108" s="5">
        <f t="shared" si="140"/>
        <v>-3311</v>
      </c>
      <c r="L108" s="5">
        <f t="shared" si="140"/>
        <v>17005</v>
      </c>
      <c r="M108" s="5">
        <f t="shared" si="140"/>
        <v>1048</v>
      </c>
      <c r="AM108" s="482"/>
      <c r="AN108" s="482"/>
      <c r="AO108" s="482"/>
      <c r="AP108" s="482"/>
      <c r="AQ108" s="482"/>
      <c r="AR108" s="482"/>
      <c r="AS108" s="482"/>
      <c r="AT108" s="482"/>
    </row>
    <row r="109" spans="7:55">
      <c r="AM109" s="538" t="s">
        <v>36</v>
      </c>
      <c r="AN109" s="482">
        <v>2021</v>
      </c>
      <c r="AO109" s="482">
        <v>2020</v>
      </c>
      <c r="AP109" s="482">
        <v>2019</v>
      </c>
      <c r="AQ109" s="482">
        <v>2018</v>
      </c>
      <c r="AR109" s="482">
        <v>2017</v>
      </c>
      <c r="AS109" s="482">
        <v>2016</v>
      </c>
      <c r="AT109" s="482"/>
    </row>
    <row r="110" spans="7:55">
      <c r="G110" s="76" t="s">
        <v>291</v>
      </c>
      <c r="H110" s="76">
        <v>2016</v>
      </c>
      <c r="I110" s="76">
        <v>2017</v>
      </c>
      <c r="J110" s="92">
        <v>2018</v>
      </c>
      <c r="K110" s="76">
        <v>2019</v>
      </c>
      <c r="L110" s="76">
        <v>2020</v>
      </c>
      <c r="M110" s="76">
        <v>2021</v>
      </c>
      <c r="AM110" s="482" t="s">
        <v>37</v>
      </c>
      <c r="AN110" s="541">
        <v>9496</v>
      </c>
      <c r="AO110" s="535">
        <v>7719</v>
      </c>
      <c r="AP110" s="535">
        <v>7131</v>
      </c>
      <c r="AQ110" s="535">
        <v>6917</v>
      </c>
      <c r="AR110" s="535">
        <v>8129</v>
      </c>
      <c r="AS110" s="535">
        <v>8975</v>
      </c>
      <c r="AT110" s="482"/>
    </row>
    <row r="111" spans="7:55">
      <c r="G111" t="s">
        <v>220</v>
      </c>
      <c r="H111">
        <v>18480</v>
      </c>
      <c r="I111">
        <v>21373</v>
      </c>
      <c r="J111">
        <v>23643</v>
      </c>
      <c r="K111">
        <v>45629</v>
      </c>
      <c r="L111">
        <v>50582</v>
      </c>
      <c r="M111">
        <v>69446</v>
      </c>
      <c r="AM111" s="482" t="s">
        <v>38</v>
      </c>
      <c r="AN111" s="535">
        <v>2911</v>
      </c>
      <c r="AO111" s="535">
        <v>5629</v>
      </c>
      <c r="AP111" s="535">
        <v>6842</v>
      </c>
      <c r="AQ111" s="535">
        <v>11513</v>
      </c>
      <c r="AR111" s="535">
        <v>10160</v>
      </c>
      <c r="AS111" s="541">
        <v>9021</v>
      </c>
      <c r="AT111" s="482"/>
      <c r="AU111" s="22"/>
    </row>
    <row r="112" spans="7:55">
      <c r="G112" t="s">
        <v>342</v>
      </c>
      <c r="H112">
        <f>491</f>
        <v>491</v>
      </c>
      <c r="I112">
        <f>1012</f>
        <v>1012</v>
      </c>
      <c r="J112">
        <f>606</f>
        <v>606</v>
      </c>
      <c r="K112">
        <f>887</f>
        <v>887</v>
      </c>
      <c r="L112">
        <f>863</f>
        <v>863</v>
      </c>
      <c r="M112">
        <v>1199</v>
      </c>
      <c r="AM112" s="482" t="s">
        <v>39</v>
      </c>
      <c r="AN112" s="535">
        <v>19329</v>
      </c>
      <c r="AO112" s="535">
        <v>37009</v>
      </c>
      <c r="AP112" s="535">
        <v>16533</v>
      </c>
      <c r="AQ112" s="535">
        <v>13580</v>
      </c>
      <c r="AR112" s="535">
        <v>15675</v>
      </c>
      <c r="AS112" s="535">
        <v>24966</v>
      </c>
      <c r="AT112" s="535"/>
      <c r="AV112" s="22"/>
      <c r="AW112" s="22"/>
      <c r="AX112" s="22"/>
      <c r="AY112" s="22"/>
      <c r="AZ112" s="22"/>
    </row>
    <row r="113" spans="7:46" ht="15" thickBot="1">
      <c r="G113" t="s">
        <v>50</v>
      </c>
      <c r="H113">
        <f>6619</f>
        <v>6619</v>
      </c>
      <c r="I113">
        <v>8504</v>
      </c>
      <c r="J113">
        <v>9245</v>
      </c>
      <c r="K113">
        <v>19852</v>
      </c>
      <c r="L113">
        <v>16273</v>
      </c>
      <c r="M113">
        <v>27192</v>
      </c>
      <c r="AM113" s="536" t="s">
        <v>40</v>
      </c>
      <c r="AN113" s="536">
        <f t="shared" ref="AN113:AS113" si="141">SUM(AN110:AN112)</f>
        <v>31736</v>
      </c>
      <c r="AO113" s="536">
        <f t="shared" si="141"/>
        <v>50357</v>
      </c>
      <c r="AP113" s="536">
        <f t="shared" si="141"/>
        <v>30506</v>
      </c>
      <c r="AQ113" s="536">
        <f t="shared" si="141"/>
        <v>32010</v>
      </c>
      <c r="AR113" s="536">
        <f t="shared" si="141"/>
        <v>33964</v>
      </c>
      <c r="AS113" s="536">
        <f t="shared" si="141"/>
        <v>42962</v>
      </c>
      <c r="AT113" s="482"/>
    </row>
    <row r="114" spans="7:46" ht="15" thickBot="1">
      <c r="G114" s="5" t="s">
        <v>224</v>
      </c>
      <c r="H114" s="5">
        <f t="shared" ref="H114:M114" si="142">H111+H112-H113</f>
        <v>12352</v>
      </c>
      <c r="I114" s="5">
        <f t="shared" si="142"/>
        <v>13881</v>
      </c>
      <c r="J114" s="5">
        <f t="shared" si="142"/>
        <v>15004</v>
      </c>
      <c r="K114" s="5">
        <f t="shared" si="142"/>
        <v>26664</v>
      </c>
      <c r="L114" s="5">
        <f t="shared" si="142"/>
        <v>35172</v>
      </c>
      <c r="M114" s="5">
        <f t="shared" si="142"/>
        <v>43453</v>
      </c>
      <c r="AM114" s="482" t="s">
        <v>292</v>
      </c>
      <c r="AN114" s="541">
        <v>-7867</v>
      </c>
      <c r="AO114" s="535">
        <v>-10834</v>
      </c>
      <c r="AP114" s="535">
        <v>-8751</v>
      </c>
      <c r="AQ114" s="535">
        <v>-10974</v>
      </c>
      <c r="AR114" s="535">
        <v>-10133</v>
      </c>
      <c r="AS114" s="535">
        <v>-10238</v>
      </c>
      <c r="AT114" s="482"/>
    </row>
    <row r="115" spans="7:46">
      <c r="G115" t="s">
        <v>226</v>
      </c>
      <c r="H115">
        <f>4556</f>
        <v>4556</v>
      </c>
      <c r="I115">
        <f>5818</f>
        <v>5818</v>
      </c>
      <c r="J115">
        <f>6719</f>
        <v>6719</v>
      </c>
      <c r="K115">
        <f>11340</f>
        <v>11340</v>
      </c>
      <c r="L115">
        <f>13087</f>
        <v>13087</v>
      </c>
      <c r="M115">
        <v>16697</v>
      </c>
      <c r="AM115" s="482" t="s">
        <v>41</v>
      </c>
      <c r="AN115" s="541">
        <v>-1684</v>
      </c>
      <c r="AO115" s="535">
        <v>-1675</v>
      </c>
      <c r="AP115" s="535">
        <v>-1581</v>
      </c>
      <c r="AQ115" s="535">
        <v>-673</v>
      </c>
      <c r="AR115" s="535">
        <v>-692</v>
      </c>
      <c r="AS115" s="535">
        <v>-668</v>
      </c>
      <c r="AT115" s="482"/>
    </row>
    <row r="116" spans="7:46" ht="15.6">
      <c r="G116" t="s">
        <v>227</v>
      </c>
      <c r="H116">
        <f>3337</f>
        <v>3337</v>
      </c>
      <c r="I116">
        <f>4171</f>
        <v>4171</v>
      </c>
      <c r="J116">
        <f>4890</f>
        <v>4890</v>
      </c>
      <c r="K116">
        <f>7146</f>
        <v>7146</v>
      </c>
      <c r="L116">
        <f>10938</f>
        <v>10938</v>
      </c>
      <c r="M116">
        <v>12929</v>
      </c>
      <c r="O116">
        <f>_xlfn.VAR.S(H116:M116)</f>
        <v>15244658.166666662</v>
      </c>
      <c r="P116">
        <f>SQRT(O116)</f>
        <v>3904.4408263753548</v>
      </c>
      <c r="AM116" s="482" t="s">
        <v>42</v>
      </c>
      <c r="AN116" s="542">
        <v>0</v>
      </c>
      <c r="AO116" s="542">
        <v>-3902</v>
      </c>
      <c r="AP116" s="542">
        <v>0</v>
      </c>
      <c r="AQ116" s="542">
        <v>0</v>
      </c>
      <c r="AR116" s="542">
        <v>-470</v>
      </c>
      <c r="AS116" s="544">
        <v>-1563</v>
      </c>
      <c r="AT116" s="482"/>
    </row>
    <row r="117" spans="7:46" ht="15" thickBot="1">
      <c r="G117" s="5" t="s">
        <v>162</v>
      </c>
      <c r="H117" s="5">
        <f t="shared" ref="H117:M117" si="143">H114-H115-H116</f>
        <v>4459</v>
      </c>
      <c r="I117" s="5">
        <f t="shared" si="143"/>
        <v>3892</v>
      </c>
      <c r="J117" s="5">
        <f t="shared" si="143"/>
        <v>3395</v>
      </c>
      <c r="K117" s="5">
        <f t="shared" si="143"/>
        <v>8178</v>
      </c>
      <c r="L117" s="5">
        <f t="shared" si="143"/>
        <v>11147</v>
      </c>
      <c r="M117" s="5">
        <f t="shared" si="143"/>
        <v>13827</v>
      </c>
      <c r="AM117" s="482" t="s">
        <v>43</v>
      </c>
      <c r="AN117" s="541">
        <v>-6363</v>
      </c>
      <c r="AO117" s="535">
        <v>-6371</v>
      </c>
      <c r="AP117" s="535">
        <v>-6355</v>
      </c>
      <c r="AQ117" s="535">
        <v>-7733</v>
      </c>
      <c r="AR117" s="535">
        <v>-10889</v>
      </c>
      <c r="AS117" s="535">
        <v>-8827</v>
      </c>
      <c r="AT117" s="482"/>
    </row>
    <row r="118" spans="7:46" ht="15" thickBot="1">
      <c r="AM118" s="536" t="s">
        <v>44</v>
      </c>
      <c r="AN118" s="536">
        <f>SUM(AN114:AN117)</f>
        <v>-15914</v>
      </c>
      <c r="AO118" s="536">
        <f>AO114+AO115+AO116+AO117</f>
        <v>-22782</v>
      </c>
      <c r="AP118" s="536">
        <f>AP114+AP115+AP116+AP117</f>
        <v>-16687</v>
      </c>
      <c r="AQ118" s="536">
        <f>AQ114+AQ115+AQ116+AQ117</f>
        <v>-19380</v>
      </c>
      <c r="AR118" s="536">
        <f>AR114+AR115+AR116+AR117</f>
        <v>-22184</v>
      </c>
      <c r="AS118" s="536">
        <f>AS114+AS115+AS116+AS117</f>
        <v>-21296</v>
      </c>
      <c r="AT118" s="482"/>
    </row>
    <row r="119" spans="7:46">
      <c r="AM119" s="482"/>
      <c r="AN119" s="482"/>
      <c r="AO119" s="482"/>
      <c r="AP119" s="482"/>
      <c r="AQ119" s="482"/>
      <c r="AR119" s="482"/>
      <c r="AS119" s="482"/>
      <c r="AT119" s="482"/>
    </row>
    <row r="120" spans="7:46">
      <c r="AM120" s="546" t="s">
        <v>36</v>
      </c>
      <c r="AN120" s="546">
        <f t="shared" ref="AN120:AS120" si="144">AN113+AN118</f>
        <v>15822</v>
      </c>
      <c r="AO120" s="546">
        <f t="shared" si="144"/>
        <v>27575</v>
      </c>
      <c r="AP120" s="546">
        <f t="shared" si="144"/>
        <v>13819</v>
      </c>
      <c r="AQ120" s="546">
        <f t="shared" si="144"/>
        <v>12630</v>
      </c>
      <c r="AR120" s="546">
        <f t="shared" si="144"/>
        <v>11780</v>
      </c>
      <c r="AS120" s="546">
        <f t="shared" si="144"/>
        <v>21666</v>
      </c>
      <c r="AT120" s="482"/>
    </row>
    <row r="121" spans="7:46">
      <c r="I121" s="570" t="s">
        <v>391</v>
      </c>
      <c r="J121" s="570"/>
      <c r="AM121" s="546" t="s">
        <v>46</v>
      </c>
      <c r="AN121" s="541">
        <v>11273</v>
      </c>
      <c r="AO121" s="535">
        <v>7984</v>
      </c>
      <c r="AP121" s="535">
        <v>7297</v>
      </c>
      <c r="AQ121" s="535">
        <v>7467</v>
      </c>
      <c r="AR121" s="535">
        <v>8118</v>
      </c>
      <c r="AS121" s="535">
        <v>7906</v>
      </c>
      <c r="AT121" s="482"/>
    </row>
    <row r="122" spans="7:46">
      <c r="P122" s="132" t="s">
        <v>298</v>
      </c>
      <c r="Q122" s="155"/>
      <c r="R122" s="154">
        <v>2016</v>
      </c>
      <c r="S122" s="154">
        <v>2017</v>
      </c>
      <c r="T122" s="154">
        <v>2018</v>
      </c>
      <c r="U122" s="154">
        <v>2019</v>
      </c>
      <c r="V122" s="154">
        <v>2020</v>
      </c>
      <c r="W122" s="150">
        <v>2021</v>
      </c>
      <c r="X122" s="493">
        <v>2022</v>
      </c>
      <c r="Y122" s="174" t="s">
        <v>7</v>
      </c>
      <c r="Z122" s="174" t="s">
        <v>440</v>
      </c>
      <c r="AM122" s="546" t="s">
        <v>47</v>
      </c>
      <c r="AN122" s="546">
        <f>0</f>
        <v>0</v>
      </c>
      <c r="AO122" s="546"/>
      <c r="AP122" s="546"/>
      <c r="AQ122" s="546"/>
      <c r="AR122" s="546"/>
      <c r="AS122" s="546"/>
      <c r="AT122" s="482"/>
    </row>
    <row r="123" spans="7:46" ht="16.2" thickBot="1">
      <c r="G123" s="163" t="s">
        <v>96</v>
      </c>
      <c r="H123" s="163">
        <v>2021</v>
      </c>
      <c r="I123" s="163">
        <v>2020</v>
      </c>
      <c r="J123" s="163">
        <v>2019</v>
      </c>
      <c r="K123" s="163">
        <v>2018</v>
      </c>
      <c r="L123" s="163">
        <v>2017</v>
      </c>
      <c r="M123" s="163">
        <v>2016</v>
      </c>
      <c r="N123" s="163" t="s">
        <v>300</v>
      </c>
      <c r="P123" s="578" t="s">
        <v>210</v>
      </c>
      <c r="Q123" s="51" t="s">
        <v>384</v>
      </c>
      <c r="R123" s="133">
        <f>Likviditetsanalyse!AA9</f>
        <v>0.15240529953245138</v>
      </c>
      <c r="S123" s="133">
        <f>Likviditetsanalyse!AB9</f>
        <v>0.19453382553250292</v>
      </c>
      <c r="T123" s="133">
        <f>Likviditetsanalyse!AC9</f>
        <v>0.21963226152088872</v>
      </c>
      <c r="U123" s="133">
        <f>Likviditetsanalyse!AD9</f>
        <v>0.2456323831152015</v>
      </c>
      <c r="V123" s="133">
        <f>Likviditetsanalyse!AE9</f>
        <v>0.25882987063896512</v>
      </c>
      <c r="W123" s="494">
        <f>Likviditetsanalyse!AF9</f>
        <v>0.20658530936043312</v>
      </c>
      <c r="X123" s="495">
        <f>Likviditetsanalyse!AG9</f>
        <v>0.28047637912756873</v>
      </c>
      <c r="Y123" s="173">
        <f>AVERAGE(R123:X123)</f>
        <v>0.22258504697543025</v>
      </c>
      <c r="Z123" s="172">
        <f>AVERAGE(T123:X123)</f>
        <v>0.2422312407526114</v>
      </c>
      <c r="AM123" s="536" t="s">
        <v>48</v>
      </c>
      <c r="AN123" s="547">
        <f t="shared" ref="AN123:AS123" si="145">AN120+AN121</f>
        <v>27095</v>
      </c>
      <c r="AO123" s="547">
        <f t="shared" si="145"/>
        <v>35559</v>
      </c>
      <c r="AP123" s="547">
        <f t="shared" si="145"/>
        <v>21116</v>
      </c>
      <c r="AQ123" s="547">
        <f t="shared" si="145"/>
        <v>20097</v>
      </c>
      <c r="AR123" s="547">
        <f t="shared" si="145"/>
        <v>19898</v>
      </c>
      <c r="AS123" s="547">
        <f t="shared" si="145"/>
        <v>29572</v>
      </c>
      <c r="AT123" s="482"/>
    </row>
    <row r="124" spans="7:46" ht="15.6">
      <c r="G124" s="163" t="s">
        <v>302</v>
      </c>
      <c r="H124" s="161">
        <v>20271</v>
      </c>
      <c r="I124" s="161">
        <v>17006</v>
      </c>
      <c r="J124" s="161">
        <v>11097</v>
      </c>
      <c r="K124" s="161">
        <v>7721</v>
      </c>
      <c r="L124" s="161">
        <v>8729</v>
      </c>
      <c r="M124" s="162">
        <v>8589</v>
      </c>
      <c r="N124" s="164"/>
      <c r="P124" s="582"/>
      <c r="Q124" s="51" t="s">
        <v>291</v>
      </c>
      <c r="R124" s="133">
        <f>M126</f>
        <v>0.4084553928095872</v>
      </c>
      <c r="S124" s="133">
        <f>L126</f>
        <v>0.35078765471789103</v>
      </c>
      <c r="T124" s="133">
        <f>K126</f>
        <v>0.21309891808346212</v>
      </c>
      <c r="U124" s="133">
        <f>J126</f>
        <v>0.24375617792421747</v>
      </c>
      <c r="V124" s="133">
        <f>I126</f>
        <v>0.29830900926185799</v>
      </c>
      <c r="W124" s="494">
        <f>H126</f>
        <v>0.32674081237911023</v>
      </c>
      <c r="X124" s="198"/>
      <c r="Y124" s="172">
        <f>AVERAGE(R124:W124)</f>
        <v>0.306857994196021</v>
      </c>
      <c r="Z124" s="172">
        <f>AVERAGE(T124:W124)</f>
        <v>0.27047622941216198</v>
      </c>
      <c r="AM124" s="482"/>
      <c r="AN124" s="482"/>
      <c r="AO124" s="482"/>
      <c r="AP124" s="482"/>
      <c r="AQ124" s="482"/>
      <c r="AR124" s="482"/>
      <c r="AS124" s="482"/>
      <c r="AT124" s="482"/>
    </row>
    <row r="125" spans="7:46" ht="15.6">
      <c r="G125" s="163" t="s">
        <v>305</v>
      </c>
      <c r="H125" s="161">
        <v>62040</v>
      </c>
      <c r="I125" s="161">
        <v>57008</v>
      </c>
      <c r="J125" s="161">
        <v>45525</v>
      </c>
      <c r="K125" s="161">
        <v>36232</v>
      </c>
      <c r="L125" s="161">
        <v>24884</v>
      </c>
      <c r="M125" s="162">
        <v>21028</v>
      </c>
      <c r="N125" s="164"/>
      <c r="P125" s="578" t="s">
        <v>212</v>
      </c>
      <c r="Q125" s="144" t="s">
        <v>383</v>
      </c>
      <c r="R125" s="143">
        <f>Likviditetsanalyse!AA14</f>
        <v>0.84759470046754859</v>
      </c>
      <c r="S125" s="143">
        <f>Likviditetsanalyse!AB14</f>
        <v>0.80546617446749713</v>
      </c>
      <c r="T125" s="143">
        <f>Likviditetsanalyse!AC14</f>
        <v>0.78036773847911123</v>
      </c>
      <c r="U125" s="143">
        <f>Likviditetsanalyse!AD14</f>
        <v>0.75436761688479848</v>
      </c>
      <c r="V125" s="143">
        <f>Likviditetsanalyse!AE14</f>
        <v>0.74117012936103488</v>
      </c>
      <c r="W125" s="143">
        <f>Likviditetsanalyse!AF14</f>
        <v>0.79341469063956682</v>
      </c>
      <c r="X125" s="495">
        <f>Likviditetsanalyse!AG14</f>
        <v>0.71952362087243127</v>
      </c>
      <c r="Y125" s="173">
        <f>AVERAGE(R125:X125)</f>
        <v>0.77741495302456987</v>
      </c>
      <c r="Z125" s="173">
        <f>AVERAGE(T125:X125)</f>
        <v>0.75776875924738851</v>
      </c>
      <c r="AM125" s="482"/>
      <c r="AN125" s="482">
        <v>2021</v>
      </c>
      <c r="AO125" s="482">
        <v>2020</v>
      </c>
      <c r="AP125" s="482">
        <v>2019</v>
      </c>
      <c r="AQ125" s="482">
        <v>2018</v>
      </c>
      <c r="AR125" s="482">
        <v>2017</v>
      </c>
      <c r="AS125" s="482" t="s">
        <v>390</v>
      </c>
      <c r="AT125" s="482"/>
    </row>
    <row r="126" spans="7:46" ht="16.2" thickBot="1">
      <c r="G126" s="165" t="s">
        <v>210</v>
      </c>
      <c r="H126" s="170">
        <f t="shared" ref="H126:M126" si="146">H124/H125</f>
        <v>0.32674081237911023</v>
      </c>
      <c r="I126" s="170">
        <f t="shared" si="146"/>
        <v>0.29830900926185799</v>
      </c>
      <c r="J126" s="170">
        <f t="shared" si="146"/>
        <v>0.24375617792421747</v>
      </c>
      <c r="K126" s="170">
        <f t="shared" si="146"/>
        <v>0.21309891808346212</v>
      </c>
      <c r="L126" s="170">
        <f t="shared" si="146"/>
        <v>0.35078765471789103</v>
      </c>
      <c r="M126" s="170">
        <f t="shared" si="146"/>
        <v>0.4084553928095872</v>
      </c>
      <c r="N126" s="171">
        <f>AVERAGE(H126:M126)</f>
        <v>0.306857994196021</v>
      </c>
      <c r="P126" s="579"/>
      <c r="Q126" s="51" t="s">
        <v>291</v>
      </c>
      <c r="R126" s="133">
        <f>M130</f>
        <v>0.5915446071904128</v>
      </c>
      <c r="S126" s="133">
        <f>L130</f>
        <v>0.64917215881691048</v>
      </c>
      <c r="T126" s="133">
        <f>K130</f>
        <v>0.78690108191653785</v>
      </c>
      <c r="U126" s="133">
        <f>J130</f>
        <v>0.75626578802855571</v>
      </c>
      <c r="V126" s="133">
        <f>I130</f>
        <v>0.70169099073814201</v>
      </c>
      <c r="W126" s="494">
        <f>H130</f>
        <v>0.67325918762088977</v>
      </c>
      <c r="X126" s="198"/>
      <c r="Y126" s="172">
        <f>AVERAGE(R126:W126)</f>
        <v>0.69313896905190797</v>
      </c>
      <c r="Z126" s="172">
        <f>AVERAGE(T126:W126)</f>
        <v>0.7295292620760313</v>
      </c>
      <c r="AM126" s="482" t="s">
        <v>392</v>
      </c>
      <c r="AN126" s="540">
        <f>(AN76)/((AN123+AO123)/2)</f>
        <v>1.3458398827006075E-2</v>
      </c>
      <c r="AO126" s="540">
        <f>(AO76)/((AO123+AP123)/2)</f>
        <v>0.73475212237169174</v>
      </c>
      <c r="AP126" s="540">
        <f>(AP76)/((AP123+AQ123)/2)</f>
        <v>1.7363690003095164E-2</v>
      </c>
      <c r="AQ126" s="540">
        <f>(AQ76)/((AQ123+AR123)/2)</f>
        <v>3.7825056000852571E-2</v>
      </c>
      <c r="AR126" s="540">
        <f>(AR76)/((AR123+AS123)/2)</f>
        <v>0.20052724900260605</v>
      </c>
      <c r="AS126" s="540">
        <f>(AN126+AO126+AP126+AQ126+AR126)/5</f>
        <v>0.20078530324105032</v>
      </c>
      <c r="AT126" s="482"/>
    </row>
    <row r="127" spans="7:46" ht="15.6">
      <c r="G127" s="163"/>
      <c r="H127" s="164"/>
      <c r="I127" s="164"/>
      <c r="J127" s="164"/>
      <c r="K127" s="164"/>
      <c r="L127" s="164"/>
      <c r="M127" s="164"/>
      <c r="N127" s="164"/>
      <c r="P127" s="578" t="s">
        <v>137</v>
      </c>
      <c r="Q127" s="144" t="s">
        <v>383</v>
      </c>
      <c r="R127" s="143">
        <f>Likviditetsanalyse!AA18</f>
        <v>5.5614516231902549</v>
      </c>
      <c r="S127" s="143">
        <f>Likviditetsanalyse!AB18</f>
        <v>4.1404941904713581</v>
      </c>
      <c r="T127" s="143">
        <f>Likviditetsanalyse!AC18</f>
        <v>3.5530651693667159</v>
      </c>
      <c r="U127" s="143">
        <f>Likviditetsanalyse!AD18</f>
        <v>3.0711244475082116</v>
      </c>
      <c r="V127" s="143">
        <f>Likviditetsanalyse!AE18</f>
        <v>2.8635417061073039</v>
      </c>
      <c r="W127" s="143">
        <f>Likviditetsanalyse!AF18</f>
        <v>3.840615255246838</v>
      </c>
      <c r="X127" s="495">
        <f>Likviditetsanalyse!AG18</f>
        <v>2.5653626273646779</v>
      </c>
      <c r="Y127" s="173">
        <f>AVERAGE(R127:X127)</f>
        <v>3.6565221456079087</v>
      </c>
      <c r="Z127" s="173">
        <f>AVERAGE(T127:X127)</f>
        <v>3.1787418411187494</v>
      </c>
      <c r="AM127" s="482"/>
      <c r="AN127" s="482"/>
      <c r="AO127" s="482"/>
      <c r="AP127" s="482"/>
      <c r="AQ127" s="482"/>
      <c r="AR127" s="482"/>
      <c r="AS127" s="482"/>
      <c r="AT127" s="482"/>
    </row>
    <row r="128" spans="7:46" ht="15.6">
      <c r="G128" s="163" t="s">
        <v>308</v>
      </c>
      <c r="H128" s="167">
        <v>41769</v>
      </c>
      <c r="I128" s="167">
        <v>40002</v>
      </c>
      <c r="J128" s="167">
        <v>34429</v>
      </c>
      <c r="K128" s="167">
        <v>28511</v>
      </c>
      <c r="L128" s="167">
        <v>16154</v>
      </c>
      <c r="M128" s="168">
        <v>12439</v>
      </c>
      <c r="N128" s="164"/>
      <c r="P128" s="579"/>
      <c r="Q128" s="51" t="s">
        <v>291</v>
      </c>
      <c r="R128" s="133">
        <f>M134</f>
        <v>1.4482477587612061</v>
      </c>
      <c r="S128" s="133">
        <f>L134</f>
        <v>1.8506128995303013</v>
      </c>
      <c r="T128" s="133">
        <f>K134</f>
        <v>3.6926563916591113</v>
      </c>
      <c r="U128" s="133">
        <f>J134</f>
        <v>3.1025502388032802</v>
      </c>
      <c r="V128" s="133">
        <f>I134</f>
        <v>2.3522286251911089</v>
      </c>
      <c r="W128" s="494">
        <f>H134</f>
        <v>2.0605298209264467</v>
      </c>
      <c r="X128" s="198"/>
      <c r="Y128" s="172">
        <f>AVERAGE(R128:W128)</f>
        <v>2.4178042891452427</v>
      </c>
      <c r="Z128" s="172">
        <f>AVERAGE(T128:W128)</f>
        <v>2.8019912691449873</v>
      </c>
    </row>
    <row r="129" spans="7:26" ht="15.6">
      <c r="G129" s="163" t="s">
        <v>305</v>
      </c>
      <c r="H129" s="164">
        <f t="shared" ref="H129:M129" si="147">H125</f>
        <v>62040</v>
      </c>
      <c r="I129" s="164">
        <f t="shared" si="147"/>
        <v>57008</v>
      </c>
      <c r="J129" s="164">
        <f t="shared" si="147"/>
        <v>45525</v>
      </c>
      <c r="K129" s="164">
        <f t="shared" si="147"/>
        <v>36232</v>
      </c>
      <c r="L129" s="164">
        <f t="shared" si="147"/>
        <v>24884</v>
      </c>
      <c r="M129" s="164">
        <f t="shared" si="147"/>
        <v>21028</v>
      </c>
      <c r="N129" s="164"/>
      <c r="P129" s="580" t="s">
        <v>322</v>
      </c>
      <c r="Q129" s="144" t="s">
        <v>383</v>
      </c>
      <c r="R129" s="143">
        <f>Likviditetsanalyse!AA23</f>
        <v>3.1705739692805173</v>
      </c>
      <c r="S129" s="143">
        <f>Likviditetsanalyse!AB23</f>
        <v>2.8022464261402313</v>
      </c>
      <c r="T129" s="143">
        <f>Likviditetsanalyse!AC23</f>
        <v>2.6812406576980568</v>
      </c>
      <c r="U129" s="143">
        <f>Likviditetsanalyse!AD23</f>
        <v>4.1848523748395374</v>
      </c>
      <c r="V129" s="143">
        <f>Likviditetsanalyse!AE23</f>
        <v>8.1628352490421463</v>
      </c>
      <c r="W129" s="143">
        <f>Likviditetsanalyse!AF23</f>
        <v>2.7891290111329403</v>
      </c>
      <c r="X129" s="495">
        <f>Likviditetsanalyse!AG23</f>
        <v>-2.2520342000468503</v>
      </c>
      <c r="Y129" s="143">
        <f>AVERAGE(R129:X129)</f>
        <v>3.0769776411552252</v>
      </c>
      <c r="Z129" s="495">
        <f>AVERAGE(T129:X129)</f>
        <v>3.1132046185331661</v>
      </c>
    </row>
    <row r="130" spans="7:26" ht="16.2" thickBot="1">
      <c r="G130" s="165" t="s">
        <v>212</v>
      </c>
      <c r="H130" s="170">
        <f t="shared" ref="H130:M130" si="148">H128/H129</f>
        <v>0.67325918762088977</v>
      </c>
      <c r="I130" s="170">
        <f t="shared" si="148"/>
        <v>0.70169099073814201</v>
      </c>
      <c r="J130" s="170">
        <f t="shared" si="148"/>
        <v>0.75626578802855571</v>
      </c>
      <c r="K130" s="170">
        <f t="shared" si="148"/>
        <v>0.78690108191653785</v>
      </c>
      <c r="L130" s="170">
        <f t="shared" si="148"/>
        <v>0.64917215881691048</v>
      </c>
      <c r="M130" s="170">
        <f t="shared" si="148"/>
        <v>0.5915446071904128</v>
      </c>
      <c r="N130" s="166">
        <f>AVERAGE(H130:M130)</f>
        <v>0.69313896905190797</v>
      </c>
      <c r="P130" s="581"/>
      <c r="Q130" s="51" t="s">
        <v>291</v>
      </c>
      <c r="R130" s="133">
        <f>M139</f>
        <v>10.363957597173146</v>
      </c>
      <c r="S130" s="133">
        <f>L139</f>
        <v>5.873303167420814</v>
      </c>
      <c r="T130" s="133">
        <f>K139</f>
        <v>1.1366024518388791</v>
      </c>
      <c r="U130" s="133">
        <f>J139</f>
        <v>4.181213017751479</v>
      </c>
      <c r="V130" s="133">
        <f>I139</f>
        <v>13.852292020373515</v>
      </c>
      <c r="W130" s="133">
        <f>H139</f>
        <v>18.695075757575758</v>
      </c>
      <c r="X130" s="198"/>
      <c r="Y130" s="494">
        <f>AVERAGE(R130:W130)</f>
        <v>9.0170740020222642</v>
      </c>
      <c r="Z130" s="496">
        <f>AVERAGE(T130:W130)</f>
        <v>9.4662958118849083</v>
      </c>
    </row>
    <row r="131" spans="7:26" ht="15.6">
      <c r="G131" s="163"/>
      <c r="H131" s="164"/>
      <c r="I131" s="164"/>
      <c r="J131" s="164"/>
      <c r="K131" s="164"/>
      <c r="L131" s="169"/>
      <c r="M131" s="164"/>
      <c r="N131" s="164"/>
      <c r="P131" s="145"/>
      <c r="Q131" s="145"/>
      <c r="R131" s="145"/>
      <c r="S131" s="145"/>
      <c r="T131" s="145"/>
      <c r="U131" s="145"/>
      <c r="V131" s="145"/>
      <c r="W131" s="145"/>
      <c r="X131" s="468"/>
      <c r="Y131" s="145"/>
    </row>
    <row r="132" spans="7:26" ht="15.6">
      <c r="G132" s="163" t="s">
        <v>314</v>
      </c>
      <c r="H132" s="164">
        <f t="shared" ref="H132:M132" si="149">H128</f>
        <v>41769</v>
      </c>
      <c r="I132" s="164">
        <f t="shared" si="149"/>
        <v>40002</v>
      </c>
      <c r="J132" s="164">
        <f t="shared" si="149"/>
        <v>34429</v>
      </c>
      <c r="K132" s="164">
        <f t="shared" si="149"/>
        <v>28511</v>
      </c>
      <c r="L132" s="164">
        <f t="shared" si="149"/>
        <v>16154</v>
      </c>
      <c r="M132" s="164">
        <f t="shared" si="149"/>
        <v>12439</v>
      </c>
      <c r="N132" s="164"/>
    </row>
    <row r="133" spans="7:26" ht="15.6">
      <c r="G133" s="163" t="s">
        <v>302</v>
      </c>
      <c r="H133" s="164">
        <f t="shared" ref="H133:M133" si="150">H124</f>
        <v>20271</v>
      </c>
      <c r="I133" s="164">
        <f t="shared" si="150"/>
        <v>17006</v>
      </c>
      <c r="J133" s="164">
        <f t="shared" si="150"/>
        <v>11097</v>
      </c>
      <c r="K133" s="164">
        <f t="shared" si="150"/>
        <v>7721</v>
      </c>
      <c r="L133" s="164">
        <f t="shared" si="150"/>
        <v>8729</v>
      </c>
      <c r="M133" s="164">
        <f t="shared" si="150"/>
        <v>8589</v>
      </c>
      <c r="N133" s="164"/>
    </row>
    <row r="134" spans="7:26" ht="16.2" thickBot="1">
      <c r="G134" s="165" t="s">
        <v>137</v>
      </c>
      <c r="H134" s="170">
        <f t="shared" ref="H134:M134" si="151">H132/H133</f>
        <v>2.0605298209264467</v>
      </c>
      <c r="I134" s="170">
        <f t="shared" si="151"/>
        <v>2.3522286251911089</v>
      </c>
      <c r="J134" s="170">
        <f t="shared" si="151"/>
        <v>3.1025502388032802</v>
      </c>
      <c r="K134" s="170">
        <f t="shared" si="151"/>
        <v>3.6926563916591113</v>
      </c>
      <c r="L134" s="170">
        <f t="shared" si="151"/>
        <v>1.8506128995303013</v>
      </c>
      <c r="M134" s="170">
        <f t="shared" si="151"/>
        <v>1.4482477587612061</v>
      </c>
      <c r="N134" s="166">
        <f>AVERAGE(H134:M134)</f>
        <v>2.4178042891452427</v>
      </c>
    </row>
    <row r="135" spans="7:26" ht="15.6">
      <c r="G135" s="164"/>
      <c r="H135" s="164"/>
      <c r="I135" s="164"/>
      <c r="J135" s="164"/>
      <c r="K135" s="164"/>
      <c r="L135" s="164"/>
      <c r="M135" s="164"/>
      <c r="N135" s="164"/>
    </row>
    <row r="136" spans="7:26" ht="15.6">
      <c r="G136" s="164"/>
      <c r="H136" s="164"/>
      <c r="I136" s="164"/>
      <c r="J136" s="164"/>
      <c r="K136" s="164"/>
      <c r="L136" s="164"/>
      <c r="M136" s="164"/>
      <c r="N136" s="164"/>
    </row>
    <row r="137" spans="7:26" ht="15.6">
      <c r="G137" s="163" t="s">
        <v>317</v>
      </c>
      <c r="H137" s="164">
        <v>9871</v>
      </c>
      <c r="I137" s="164">
        <v>8159</v>
      </c>
      <c r="J137" s="164">
        <v>5653</v>
      </c>
      <c r="K137" s="164">
        <v>649</v>
      </c>
      <c r="L137" s="164">
        <v>1298</v>
      </c>
      <c r="M137" s="164">
        <v>2933</v>
      </c>
      <c r="N137" s="164"/>
    </row>
    <row r="138" spans="7:26" ht="15.6">
      <c r="G138" s="163" t="s">
        <v>393</v>
      </c>
      <c r="H138" s="164">
        <v>528</v>
      </c>
      <c r="I138" s="164">
        <v>589</v>
      </c>
      <c r="J138" s="164">
        <v>1352</v>
      </c>
      <c r="K138" s="164">
        <v>571</v>
      </c>
      <c r="L138" s="164">
        <v>221</v>
      </c>
      <c r="M138" s="164">
        <v>283</v>
      </c>
      <c r="N138" s="164"/>
    </row>
    <row r="139" spans="7:26" ht="16.2" thickBot="1">
      <c r="G139" s="165" t="s">
        <v>321</v>
      </c>
      <c r="H139" s="170">
        <f t="shared" ref="H139:M139" si="152">H137/H138</f>
        <v>18.695075757575758</v>
      </c>
      <c r="I139" s="170">
        <f t="shared" si="152"/>
        <v>13.852292020373515</v>
      </c>
      <c r="J139" s="170">
        <f t="shared" si="152"/>
        <v>4.181213017751479</v>
      </c>
      <c r="K139" s="170">
        <f t="shared" si="152"/>
        <v>1.1366024518388791</v>
      </c>
      <c r="L139" s="170">
        <f t="shared" si="152"/>
        <v>5.873303167420814</v>
      </c>
      <c r="M139" s="170">
        <f t="shared" si="152"/>
        <v>10.363957597173146</v>
      </c>
      <c r="N139" s="171">
        <f>AVERAGE(H139:M139)</f>
        <v>9.0170740020222659</v>
      </c>
    </row>
  </sheetData>
  <mergeCells count="15">
    <mergeCell ref="P125:P126"/>
    <mergeCell ref="P127:P128"/>
    <mergeCell ref="P129:P130"/>
    <mergeCell ref="I121:J121"/>
    <mergeCell ref="P123:P124"/>
    <mergeCell ref="AM57:AS57"/>
    <mergeCell ref="I4:K4"/>
    <mergeCell ref="W4:Y4"/>
    <mergeCell ref="AG4:AH4"/>
    <mergeCell ref="AM4:AR4"/>
    <mergeCell ref="AM27:AS27"/>
    <mergeCell ref="AG28:AH28"/>
    <mergeCell ref="AD30:AD31"/>
    <mergeCell ref="AD32:AD33"/>
    <mergeCell ref="AD34:AD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D277-7A90-684A-91A9-DC619EC0402A}">
  <sheetPr codeName="Ark9"/>
  <dimension ref="B3:R85"/>
  <sheetViews>
    <sheetView topLeftCell="A24" zoomScale="75" zoomScaleNormal="142" workbookViewId="0">
      <selection activeCell="J18" sqref="J18"/>
    </sheetView>
  </sheetViews>
  <sheetFormatPr defaultColWidth="11.44140625" defaultRowHeight="14.4"/>
  <cols>
    <col min="2" max="2" width="42.33203125" bestFit="1" customWidth="1"/>
    <col min="3" max="7" width="17" bestFit="1" customWidth="1"/>
    <col min="12" max="12" width="19.33203125" bestFit="1" customWidth="1"/>
  </cols>
  <sheetData>
    <row r="3" spans="2:11">
      <c r="B3" s="584" t="s">
        <v>394</v>
      </c>
      <c r="C3" s="584"/>
      <c r="D3" s="584"/>
      <c r="E3" s="584"/>
      <c r="F3" s="584"/>
      <c r="G3" s="584"/>
      <c r="H3" s="584"/>
    </row>
    <row r="5" spans="2:11">
      <c r="B5" s="583" t="s">
        <v>395</v>
      </c>
      <c r="C5" s="583"/>
      <c r="D5" s="583"/>
      <c r="E5" s="583"/>
      <c r="F5" s="583"/>
      <c r="G5" s="583"/>
      <c r="H5" s="583"/>
    </row>
    <row r="6" spans="2:11">
      <c r="B6" s="3"/>
      <c r="C6" s="3">
        <v>2016</v>
      </c>
      <c r="D6" s="3">
        <v>2017</v>
      </c>
      <c r="E6" s="3">
        <v>2018</v>
      </c>
      <c r="F6" s="3">
        <v>2019</v>
      </c>
      <c r="G6" s="3">
        <v>2020</v>
      </c>
      <c r="H6" s="3">
        <v>2021</v>
      </c>
      <c r="I6" s="3">
        <v>2022</v>
      </c>
    </row>
    <row r="7" spans="2:11">
      <c r="B7" s="3" t="s">
        <v>48</v>
      </c>
      <c r="C7" s="3">
        <f>'Reformulering '!AI45</f>
        <v>88202.559999999998</v>
      </c>
      <c r="D7" s="3">
        <f>'Reformulering '!AJ45</f>
        <v>81917.5</v>
      </c>
      <c r="E7" s="3">
        <f>'Reformulering '!AK45</f>
        <v>75182.86</v>
      </c>
      <c r="F7" s="3">
        <f>'Reformulering '!AL45</f>
        <v>68831.259999999995</v>
      </c>
      <c r="G7" s="3">
        <f>'Reformulering '!AM45</f>
        <v>82678.080000000002</v>
      </c>
      <c r="H7" s="3">
        <f>'Reformulering '!AN45</f>
        <v>115153.22</v>
      </c>
      <c r="I7" s="42">
        <f>'Reformulering '!AO45</f>
        <v>120750.98599999998</v>
      </c>
      <c r="J7" s="60"/>
    </row>
    <row r="8" spans="2:11">
      <c r="B8" s="3" t="s">
        <v>66</v>
      </c>
      <c r="C8" s="24">
        <f>'Reformulering '!C22</f>
        <v>8743.5011163482995</v>
      </c>
      <c r="D8" s="24">
        <f>'Reformulering '!D22</f>
        <v>6252.867320015077</v>
      </c>
      <c r="E8" s="24">
        <f>'Reformulering '!E22</f>
        <v>5593.8</v>
      </c>
      <c r="F8" s="24">
        <f>'Reformulering '!F22</f>
        <v>7621.54</v>
      </c>
      <c r="G8" s="24">
        <f>'Reformulering '!G22</f>
        <v>9967.48</v>
      </c>
      <c r="H8" s="24">
        <f>'Reformulering '!H22</f>
        <v>3322.06</v>
      </c>
      <c r="I8" s="24">
        <f>'Reformulering '!I22</f>
        <v>7487.3463000000047</v>
      </c>
    </row>
    <row r="9" spans="2:11">
      <c r="B9" s="25" t="s">
        <v>350</v>
      </c>
      <c r="C9" s="25"/>
      <c r="D9" s="26">
        <f>(D8)/((D7+C7)/2)</f>
        <v>7.3511228717119861E-2</v>
      </c>
      <c r="E9" s="26">
        <f>(E8)/((E7+D7)/2)</f>
        <v>7.1213076787347923E-2</v>
      </c>
      <c r="F9" s="26">
        <f t="shared" ref="F9:H9" si="0">(F8)/((F7+E7)/2)</f>
        <v>0.10584434359630848</v>
      </c>
      <c r="G9" s="26">
        <f t="shared" si="0"/>
        <v>0.13157578272072204</v>
      </c>
      <c r="H9" s="26">
        <f t="shared" si="0"/>
        <v>3.3584776524240606E-2</v>
      </c>
      <c r="I9" s="26">
        <f>(I8)/((I7+H7)/2)</f>
        <v>6.3477853379180577E-2</v>
      </c>
      <c r="J9" s="134">
        <f>AVERAGE(D9:I9)</f>
        <v>7.9867843620819903E-2</v>
      </c>
      <c r="K9" s="35"/>
    </row>
    <row r="11" spans="2:11">
      <c r="B11" s="3"/>
      <c r="C11" s="3">
        <v>2016</v>
      </c>
      <c r="D11" s="3">
        <v>2017</v>
      </c>
      <c r="E11" s="3">
        <v>2018</v>
      </c>
      <c r="F11" s="3">
        <v>2019</v>
      </c>
      <c r="G11" s="3">
        <v>2020</v>
      </c>
      <c r="H11" s="3">
        <v>2021</v>
      </c>
      <c r="I11" s="63">
        <v>2022</v>
      </c>
    </row>
    <row r="12" spans="2:11">
      <c r="B12" s="3" t="s">
        <v>396</v>
      </c>
      <c r="C12" s="3">
        <f>'Reformulering '!C27</f>
        <v>5990.9999999999991</v>
      </c>
      <c r="D12" s="3">
        <f>'Reformulering '!D27</f>
        <v>4029</v>
      </c>
      <c r="E12" s="3">
        <f>'Reformulering '!E27</f>
        <v>3519</v>
      </c>
      <c r="F12" s="3">
        <f>'Reformulering '!F27</f>
        <v>5833</v>
      </c>
      <c r="G12" s="3">
        <f>'Reformulering '!G27</f>
        <v>8746</v>
      </c>
      <c r="H12" s="3">
        <f>'Reformulering '!H27</f>
        <v>2131</v>
      </c>
      <c r="I12" s="1">
        <f>'Reformulering '!I27</f>
        <v>10817.256000000005</v>
      </c>
    </row>
    <row r="13" spans="2:11">
      <c r="B13" s="3" t="s">
        <v>397</v>
      </c>
      <c r="C13" s="3">
        <f>'Reformulering '!K30</f>
        <v>20000</v>
      </c>
      <c r="D13" s="3">
        <f>'Reformulering '!L30</f>
        <v>20000</v>
      </c>
      <c r="E13" s="3">
        <f>'Reformulering '!M30</f>
        <v>20000</v>
      </c>
      <c r="F13" s="3">
        <f>'Reformulering '!N30</f>
        <v>20000</v>
      </c>
      <c r="G13" s="3">
        <f>'Reformulering '!O30</f>
        <v>20000</v>
      </c>
      <c r="H13" s="3">
        <f>'Reformulering '!P30</f>
        <v>20000</v>
      </c>
      <c r="I13" s="42">
        <f>Forecast!I46</f>
        <v>20000</v>
      </c>
    </row>
    <row r="14" spans="2:11">
      <c r="B14" s="25" t="s">
        <v>398</v>
      </c>
      <c r="C14" s="25"/>
      <c r="D14" s="26">
        <f>D12/((D13+C13)/2)</f>
        <v>0.20144999999999999</v>
      </c>
      <c r="E14" s="26">
        <f t="shared" ref="E14:G14" si="1">E12/((E13+D13)/2)</f>
        <v>0.17595</v>
      </c>
      <c r="F14" s="26">
        <f t="shared" si="1"/>
        <v>0.29165000000000002</v>
      </c>
      <c r="G14" s="26">
        <f t="shared" si="1"/>
        <v>0.43730000000000002</v>
      </c>
      <c r="H14" s="26">
        <f>H12/((H13+G13)/2)</f>
        <v>0.10655000000000001</v>
      </c>
      <c r="I14" s="26">
        <f>I12/((I13+H13)/2)</f>
        <v>0.5408628000000002</v>
      </c>
      <c r="J14" s="98">
        <f>AVERAGE(D14:I14)</f>
        <v>0.29229379999999999</v>
      </c>
    </row>
    <row r="16" spans="2:11">
      <c r="B16" s="3"/>
      <c r="C16" s="3">
        <v>2016</v>
      </c>
      <c r="D16" s="3">
        <v>2017</v>
      </c>
      <c r="E16" s="3">
        <v>2018</v>
      </c>
      <c r="F16" s="3">
        <v>2019</v>
      </c>
      <c r="G16" s="94">
        <v>2020</v>
      </c>
      <c r="H16" s="3">
        <v>2021</v>
      </c>
      <c r="I16" s="3">
        <v>2022</v>
      </c>
    </row>
    <row r="17" spans="2:18">
      <c r="B17" s="3" t="s">
        <v>396</v>
      </c>
      <c r="C17" s="3">
        <f>'Reformulering '!C27</f>
        <v>5990.9999999999991</v>
      </c>
      <c r="D17" s="3">
        <f>'Reformulering '!D27</f>
        <v>4029</v>
      </c>
      <c r="E17" s="3">
        <f>'Reformulering '!E27</f>
        <v>3519</v>
      </c>
      <c r="F17" s="3">
        <f>'Reformulering '!F27</f>
        <v>5833</v>
      </c>
      <c r="G17" s="94">
        <f>'Reformulering '!G27</f>
        <v>8746</v>
      </c>
      <c r="H17" s="3">
        <f>'Reformulering '!H27</f>
        <v>2131</v>
      </c>
      <c r="I17" s="59">
        <f>I12</f>
        <v>10817.256000000005</v>
      </c>
    </row>
    <row r="18" spans="2:18">
      <c r="B18" s="3" t="s">
        <v>399</v>
      </c>
      <c r="C18" s="42">
        <f>'Reformulering '!C44</f>
        <v>102877</v>
      </c>
      <c r="D18" s="42">
        <f>'Reformulering '!D44</f>
        <v>101315</v>
      </c>
      <c r="E18" s="42">
        <f>'Reformulering '!E44</f>
        <v>98929</v>
      </c>
      <c r="F18" s="42">
        <f>'Reformulering '!F44</f>
        <v>100400</v>
      </c>
      <c r="G18" s="485">
        <f>'Reformulering '!G44</f>
        <v>102040</v>
      </c>
      <c r="H18" s="42">
        <f>'Reformulering '!H44</f>
        <v>138156</v>
      </c>
      <c r="I18" s="42">
        <f>Forecast!I60</f>
        <v>140417.739</v>
      </c>
    </row>
    <row r="19" spans="2:18">
      <c r="B19" s="25" t="s">
        <v>400</v>
      </c>
      <c r="C19" s="44">
        <f>C17/C18</f>
        <v>5.8234590822049626E-2</v>
      </c>
      <c r="D19" s="44">
        <f>D17/D18</f>
        <v>3.9767063119972364E-2</v>
      </c>
      <c r="E19" s="44">
        <f t="shared" ref="E19:H19" si="2">E17/E18</f>
        <v>3.5570965035530533E-2</v>
      </c>
      <c r="F19" s="44">
        <f t="shared" si="2"/>
        <v>5.8097609561752986E-2</v>
      </c>
      <c r="G19" s="486">
        <f t="shared" si="2"/>
        <v>8.5711485691885539E-2</v>
      </c>
      <c r="H19" s="44">
        <f t="shared" si="2"/>
        <v>1.5424592489649383E-2</v>
      </c>
      <c r="I19" s="44">
        <f>I17/I18</f>
        <v>7.703624967213013E-2</v>
      </c>
      <c r="J19" s="98">
        <f>AVERAGE(C19:I19)</f>
        <v>5.2834650913281503E-2</v>
      </c>
    </row>
    <row r="21" spans="2:18">
      <c r="D21" t="s">
        <v>401</v>
      </c>
    </row>
    <row r="22" spans="2:18">
      <c r="B22" s="3"/>
      <c r="C22" s="3">
        <v>2016</v>
      </c>
      <c r="D22" s="3">
        <v>2017</v>
      </c>
      <c r="E22" s="3">
        <v>2018</v>
      </c>
      <c r="F22" s="3">
        <v>2019</v>
      </c>
      <c r="G22" s="3">
        <v>2020</v>
      </c>
      <c r="H22" s="3">
        <v>2021</v>
      </c>
      <c r="I22" s="63">
        <v>2022</v>
      </c>
    </row>
    <row r="23" spans="2:18">
      <c r="B23" s="3" t="s">
        <v>350</v>
      </c>
      <c r="C23" s="3">
        <f>0</f>
        <v>0</v>
      </c>
      <c r="D23" s="43">
        <f t="shared" ref="D23:I23" si="3">D9</f>
        <v>7.3511228717119861E-2</v>
      </c>
      <c r="E23" s="43">
        <f t="shared" si="3"/>
        <v>7.1213076787347923E-2</v>
      </c>
      <c r="F23" s="43">
        <f t="shared" si="3"/>
        <v>0.10584434359630848</v>
      </c>
      <c r="G23" s="43">
        <f t="shared" si="3"/>
        <v>0.13157578272072204</v>
      </c>
      <c r="H23" s="43">
        <f t="shared" si="3"/>
        <v>3.3584776524240606E-2</v>
      </c>
      <c r="I23" s="43">
        <f t="shared" si="3"/>
        <v>6.3477853379180577E-2</v>
      </c>
    </row>
    <row r="24" spans="2:18">
      <c r="B24" s="3" t="s">
        <v>398</v>
      </c>
      <c r="C24" s="3">
        <v>0</v>
      </c>
      <c r="D24" s="43">
        <f t="shared" ref="D24:I24" si="4">D14</f>
        <v>0.20144999999999999</v>
      </c>
      <c r="E24" s="43">
        <f t="shared" si="4"/>
        <v>0.17595</v>
      </c>
      <c r="F24" s="43">
        <f t="shared" si="4"/>
        <v>0.29165000000000002</v>
      </c>
      <c r="G24" s="43">
        <f t="shared" si="4"/>
        <v>0.43730000000000002</v>
      </c>
      <c r="H24" s="43">
        <f t="shared" si="4"/>
        <v>0.10655000000000001</v>
      </c>
      <c r="I24" s="43">
        <f t="shared" si="4"/>
        <v>0.5408628000000002</v>
      </c>
    </row>
    <row r="25" spans="2:18">
      <c r="B25" s="3" t="s">
        <v>400</v>
      </c>
      <c r="C25" s="3">
        <v>0</v>
      </c>
      <c r="D25" s="43">
        <f t="shared" ref="D25:I25" si="5">C19</f>
        <v>5.8234590822049626E-2</v>
      </c>
      <c r="E25" s="43">
        <f t="shared" si="5"/>
        <v>3.9767063119972364E-2</v>
      </c>
      <c r="F25" s="43">
        <f t="shared" si="5"/>
        <v>3.5570965035530533E-2</v>
      </c>
      <c r="G25" s="43">
        <f t="shared" si="5"/>
        <v>5.8097609561752986E-2</v>
      </c>
      <c r="H25" s="43">
        <f t="shared" si="5"/>
        <v>8.5711485691885539E-2</v>
      </c>
      <c r="I25" s="43">
        <f t="shared" si="5"/>
        <v>1.5424592489649383E-2</v>
      </c>
    </row>
    <row r="26" spans="2:18">
      <c r="B26" s="3" t="s">
        <v>402</v>
      </c>
      <c r="C26" s="59">
        <f>C33</f>
        <v>0.74573799218526082</v>
      </c>
      <c r="D26" s="59">
        <f t="shared" ref="D26:H26" si="6">D33</f>
        <v>0.85704519791253397</v>
      </c>
      <c r="E26" s="59">
        <f t="shared" si="6"/>
        <v>0.84577788075633198</v>
      </c>
      <c r="F26" s="59">
        <f t="shared" si="6"/>
        <v>1.0517169088579812</v>
      </c>
      <c r="G26" s="59">
        <f t="shared" si="6"/>
        <v>0.89979109335872332</v>
      </c>
      <c r="H26" s="59">
        <f t="shared" si="6"/>
        <v>0.80665568882919647</v>
      </c>
      <c r="I26" s="59">
        <f>J33</f>
        <v>0.89658324710141635</v>
      </c>
      <c r="J26" s="99">
        <f>AVERAGE(D26:H26)</f>
        <v>0.8921973539429533</v>
      </c>
    </row>
    <row r="27" spans="2:18">
      <c r="N27">
        <v>2017</v>
      </c>
      <c r="O27">
        <v>2018</v>
      </c>
      <c r="P27">
        <v>2019</v>
      </c>
      <c r="Q27">
        <v>2020</v>
      </c>
      <c r="R27">
        <v>2021</v>
      </c>
    </row>
    <row r="28" spans="2:18">
      <c r="L28" s="146" t="s">
        <v>403</v>
      </c>
      <c r="M28" s="147" t="s">
        <v>401</v>
      </c>
    </row>
    <row r="29" spans="2:18">
      <c r="L29" s="148"/>
      <c r="M29" s="149" t="s">
        <v>361</v>
      </c>
    </row>
    <row r="30" spans="2:18">
      <c r="B30" s="3" t="s">
        <v>401</v>
      </c>
      <c r="C30" s="3">
        <v>2016</v>
      </c>
      <c r="D30" s="3">
        <v>2017</v>
      </c>
      <c r="E30" s="3">
        <v>2018</v>
      </c>
      <c r="F30" s="3">
        <v>2019</v>
      </c>
      <c r="G30" s="3">
        <v>2020</v>
      </c>
      <c r="H30" s="3">
        <v>2021</v>
      </c>
      <c r="I30" s="63">
        <v>2022</v>
      </c>
      <c r="L30" s="146" t="s">
        <v>404</v>
      </c>
      <c r="M30" s="147" t="s">
        <v>405</v>
      </c>
    </row>
    <row r="31" spans="2:18">
      <c r="B31" s="3" t="s">
        <v>365</v>
      </c>
      <c r="C31" s="3">
        <f>'Reformulering '!C5+'Reformulering '!C7</f>
        <v>65776</v>
      </c>
      <c r="D31" s="3">
        <f>'Reformulering '!D5+'Reformulering '!D7</f>
        <v>70207</v>
      </c>
      <c r="E31" s="3">
        <f>'Reformulering '!E5+'Reformulering '!E7</f>
        <v>63588</v>
      </c>
      <c r="F31" s="3">
        <f>'Reformulering '!F5+'Reformulering '!F7</f>
        <v>72391</v>
      </c>
      <c r="G31" s="3">
        <f>'Reformulering '!G5+'Reformulering '!G7</f>
        <v>74393</v>
      </c>
      <c r="H31" s="3">
        <f>'Reformulering '!H5+'Reformulering '!H7</f>
        <v>92889</v>
      </c>
      <c r="I31" s="3">
        <f>'Reformulering '!I5+'Reformulering '!I7</f>
        <v>129126.02900000001</v>
      </c>
      <c r="L31" s="148"/>
      <c r="M31" s="149" t="s">
        <v>361</v>
      </c>
    </row>
    <row r="32" spans="2:18">
      <c r="B32" s="3" t="s">
        <v>48</v>
      </c>
      <c r="C32" s="3">
        <f t="shared" ref="C32:H32" si="7">C7</f>
        <v>88202.559999999998</v>
      </c>
      <c r="D32" s="3">
        <f t="shared" si="7"/>
        <v>81917.5</v>
      </c>
      <c r="E32" s="3">
        <f t="shared" si="7"/>
        <v>75182.86</v>
      </c>
      <c r="F32" s="3">
        <f t="shared" si="7"/>
        <v>68831.259999999995</v>
      </c>
      <c r="G32" s="3">
        <f t="shared" si="7"/>
        <v>82678.080000000002</v>
      </c>
      <c r="H32" s="3">
        <f t="shared" si="7"/>
        <v>115153.22</v>
      </c>
      <c r="I32" s="3">
        <f>I7</f>
        <v>120750.98599999998</v>
      </c>
      <c r="L32" s="146" t="s">
        <v>406</v>
      </c>
      <c r="M32" s="147" t="s">
        <v>401</v>
      </c>
    </row>
    <row r="33" spans="2:13">
      <c r="B33" s="25" t="s">
        <v>407</v>
      </c>
      <c r="C33" s="58">
        <f>C31/C32</f>
        <v>0.74573799218526082</v>
      </c>
      <c r="D33" s="58">
        <f t="shared" ref="D33:H33" si="8">D31/D32</f>
        <v>0.85704519791253397</v>
      </c>
      <c r="E33" s="58">
        <f t="shared" si="8"/>
        <v>0.84577788075633198</v>
      </c>
      <c r="F33" s="58">
        <f t="shared" si="8"/>
        <v>1.0517169088579812</v>
      </c>
      <c r="G33" s="58">
        <f t="shared" si="8"/>
        <v>0.89979109335872332</v>
      </c>
      <c r="H33" s="58">
        <f t="shared" si="8"/>
        <v>0.80665568882919647</v>
      </c>
      <c r="I33" s="58">
        <f>I31/I32</f>
        <v>1.0693579678098863</v>
      </c>
      <c r="J33" s="99">
        <f>AVERAGE(C33:I33)</f>
        <v>0.89658324710141635</v>
      </c>
      <c r="L33" s="148"/>
      <c r="M33" s="149" t="s">
        <v>361</v>
      </c>
    </row>
    <row r="34" spans="2:13">
      <c r="L34" s="146" t="s">
        <v>328</v>
      </c>
      <c r="M34" s="147" t="s">
        <v>401</v>
      </c>
    </row>
    <row r="35" spans="2:13">
      <c r="B35" s="3"/>
      <c r="C35" s="3">
        <v>2017</v>
      </c>
      <c r="D35" s="3">
        <v>2018</v>
      </c>
      <c r="E35" s="3">
        <v>2019</v>
      </c>
      <c r="F35" s="3">
        <v>2020</v>
      </c>
      <c r="G35" s="94">
        <v>2021</v>
      </c>
      <c r="H35" s="489">
        <v>2022</v>
      </c>
      <c r="L35" s="148"/>
      <c r="M35" s="149" t="s">
        <v>361</v>
      </c>
    </row>
    <row r="36" spans="2:13">
      <c r="B36" s="3" t="s">
        <v>350</v>
      </c>
      <c r="C36" s="61">
        <f t="shared" ref="C36:H36" si="9">D23</f>
        <v>7.3511228717119861E-2</v>
      </c>
      <c r="D36" s="61">
        <f t="shared" si="9"/>
        <v>7.1213076787347923E-2</v>
      </c>
      <c r="E36" s="61">
        <f t="shared" si="9"/>
        <v>0.10584434359630848</v>
      </c>
      <c r="F36" s="61">
        <f t="shared" si="9"/>
        <v>0.13157578272072204</v>
      </c>
      <c r="G36" s="487">
        <f t="shared" si="9"/>
        <v>3.3584776524240606E-2</v>
      </c>
      <c r="H36" s="61">
        <f t="shared" si="9"/>
        <v>6.3477853379180577E-2</v>
      </c>
      <c r="J36" s="492">
        <f>365/J33</f>
        <v>407.10107084870981</v>
      </c>
    </row>
    <row r="37" spans="2:13">
      <c r="B37" s="3" t="s">
        <v>402</v>
      </c>
      <c r="C37" s="59">
        <f t="shared" ref="C37:H37" si="10">D26</f>
        <v>0.85704519791253397</v>
      </c>
      <c r="D37" s="59">
        <f t="shared" si="10"/>
        <v>0.84577788075633198</v>
      </c>
      <c r="E37" s="59">
        <f t="shared" si="10"/>
        <v>1.0517169088579812</v>
      </c>
      <c r="F37" s="59">
        <f t="shared" si="10"/>
        <v>0.89979109335872332</v>
      </c>
      <c r="G37" s="59">
        <f t="shared" si="10"/>
        <v>0.80665568882919647</v>
      </c>
      <c r="H37" s="488">
        <f t="shared" si="10"/>
        <v>0.89658324710141635</v>
      </c>
    </row>
    <row r="39" spans="2:13">
      <c r="B39" s="3" t="s">
        <v>408</v>
      </c>
      <c r="C39" s="3">
        <v>2016</v>
      </c>
      <c r="D39" s="3">
        <v>2017</v>
      </c>
      <c r="E39" s="3">
        <v>2018</v>
      </c>
      <c r="F39" s="3">
        <v>2019</v>
      </c>
      <c r="G39" s="94">
        <v>2020</v>
      </c>
      <c r="H39" s="3">
        <v>2021</v>
      </c>
      <c r="I39" s="3">
        <v>2022</v>
      </c>
    </row>
    <row r="40" spans="2:13">
      <c r="B40" s="3" t="s">
        <v>66</v>
      </c>
      <c r="C40" s="42">
        <f>C8</f>
        <v>8743.5011163482995</v>
      </c>
      <c r="D40" s="42">
        <f>'Reformulering '!D22</f>
        <v>6252.867320015077</v>
      </c>
      <c r="E40" s="42">
        <f>'Reformulering '!E22</f>
        <v>5593.8</v>
      </c>
      <c r="F40" s="42">
        <f>'Reformulering '!F22</f>
        <v>7621.54</v>
      </c>
      <c r="G40" s="42">
        <f>'Reformulering '!G22</f>
        <v>9967.48</v>
      </c>
      <c r="H40" s="484">
        <f>'Reformulering '!H22</f>
        <v>3322.06</v>
      </c>
      <c r="I40" s="484">
        <f>'Reformulering '!I22</f>
        <v>7487.3463000000047</v>
      </c>
    </row>
    <row r="41" spans="2:13">
      <c r="B41" s="3" t="s">
        <v>409</v>
      </c>
      <c r="C41" s="42">
        <f>'Reformulering '!C5+'Reformulering '!C7</f>
        <v>65776</v>
      </c>
      <c r="D41" s="42">
        <f>'Reformulering '!D5+'Reformulering '!D7</f>
        <v>70207</v>
      </c>
      <c r="E41" s="42">
        <f>'Reformulering '!E5+'Reformulering '!E7</f>
        <v>63588</v>
      </c>
      <c r="F41" s="42">
        <f>'Reformulering '!F5+'Reformulering '!F7</f>
        <v>72391</v>
      </c>
      <c r="G41" s="42">
        <f>'Reformulering '!G5+'Reformulering '!G7</f>
        <v>74393</v>
      </c>
      <c r="H41" s="42">
        <f>'Reformulering '!H5+'Reformulering '!H7</f>
        <v>92889</v>
      </c>
      <c r="I41" s="42">
        <f>'Reformulering '!I5+'Reformulering '!I7</f>
        <v>129126.02900000001</v>
      </c>
    </row>
    <row r="42" spans="2:13">
      <c r="B42" s="25" t="s">
        <v>410</v>
      </c>
      <c r="C42" s="43">
        <f>C40/C41</f>
        <v>0.13292844071315221</v>
      </c>
      <c r="D42" s="43">
        <f t="shared" ref="D42:H42" si="11">D40/D41</f>
        <v>8.9063303089650284E-2</v>
      </c>
      <c r="E42" s="43">
        <f t="shared" si="11"/>
        <v>8.7969428193998875E-2</v>
      </c>
      <c r="F42" s="43">
        <f t="shared" si="11"/>
        <v>0.10528297716566977</v>
      </c>
      <c r="G42" s="43">
        <f t="shared" si="11"/>
        <v>0.13398411140833141</v>
      </c>
      <c r="H42" s="43">
        <f t="shared" si="11"/>
        <v>3.5763761048132718E-2</v>
      </c>
      <c r="I42" s="43">
        <f>I40/I41</f>
        <v>5.7984794839466516E-2</v>
      </c>
      <c r="J42" s="134">
        <f>AVERAGE(C42:H42)</f>
        <v>9.7498670269822549E-2</v>
      </c>
    </row>
    <row r="43" spans="2:13">
      <c r="C43" s="35"/>
      <c r="D43" s="35"/>
      <c r="E43" s="35"/>
      <c r="F43" s="35"/>
      <c r="G43" s="35"/>
      <c r="H43" s="35"/>
    </row>
    <row r="46" spans="2:13">
      <c r="B46" s="25" t="s">
        <v>401</v>
      </c>
      <c r="C46" s="3">
        <v>2017</v>
      </c>
      <c r="D46" s="3">
        <v>2018</v>
      </c>
      <c r="E46" s="3">
        <v>2019</v>
      </c>
      <c r="F46" s="3">
        <v>2020</v>
      </c>
      <c r="G46" s="3">
        <v>2021</v>
      </c>
      <c r="H46" s="3">
        <v>2021</v>
      </c>
    </row>
    <row r="47" spans="2:13">
      <c r="B47" s="25" t="s">
        <v>411</v>
      </c>
      <c r="C47" s="59">
        <f>D33</f>
        <v>0.85704519791253397</v>
      </c>
      <c r="D47" s="59">
        <f t="shared" ref="D47:G47" si="12">E33</f>
        <v>0.84577788075633198</v>
      </c>
      <c r="E47" s="59">
        <f t="shared" si="12"/>
        <v>1.0517169088579812</v>
      </c>
      <c r="F47" s="59">
        <f t="shared" si="12"/>
        <v>0.89979109335872332</v>
      </c>
      <c r="G47" s="59">
        <f t="shared" si="12"/>
        <v>0.80665568882919647</v>
      </c>
      <c r="H47" s="59">
        <f>I33</f>
        <v>1.0693579678098863</v>
      </c>
    </row>
    <row r="48" spans="2:13">
      <c r="B48" s="25" t="s">
        <v>376</v>
      </c>
      <c r="C48" s="61">
        <f>D42</f>
        <v>8.9063303089650284E-2</v>
      </c>
      <c r="D48" s="61">
        <f t="shared" ref="D48:G48" si="13">E42</f>
        <v>8.7969428193998875E-2</v>
      </c>
      <c r="E48" s="61">
        <f t="shared" si="13"/>
        <v>0.10528297716566977</v>
      </c>
      <c r="F48" s="61">
        <f t="shared" si="13"/>
        <v>0.13398411140833141</v>
      </c>
      <c r="G48" s="61">
        <f t="shared" si="13"/>
        <v>3.5763761048132718E-2</v>
      </c>
      <c r="H48" s="61">
        <f>I42</f>
        <v>5.7984794839466516E-2</v>
      </c>
    </row>
    <row r="49" spans="2:9">
      <c r="B49" s="25" t="s">
        <v>350</v>
      </c>
      <c r="C49" s="61">
        <f>C36</f>
        <v>7.3511228717119861E-2</v>
      </c>
      <c r="D49" s="61">
        <f t="shared" ref="D49:G49" si="14">D36</f>
        <v>7.1213076787347923E-2</v>
      </c>
      <c r="E49" s="61">
        <f t="shared" si="14"/>
        <v>0.10584434359630848</v>
      </c>
      <c r="F49" s="61">
        <f t="shared" si="14"/>
        <v>0.13157578272072204</v>
      </c>
      <c r="G49" s="61">
        <f t="shared" si="14"/>
        <v>3.3584776524240606E-2</v>
      </c>
      <c r="H49" s="61">
        <f>H36</f>
        <v>6.3477853379180577E-2</v>
      </c>
    </row>
    <row r="50" spans="2:9">
      <c r="B50" s="11"/>
      <c r="C50" s="129"/>
      <c r="D50" s="129"/>
      <c r="E50" s="129"/>
      <c r="F50" s="129"/>
      <c r="G50" s="129"/>
    </row>
    <row r="52" spans="2:9">
      <c r="B52" s="25" t="s">
        <v>401</v>
      </c>
      <c r="C52" s="59">
        <v>2017</v>
      </c>
      <c r="D52" s="59">
        <v>2018</v>
      </c>
      <c r="E52" s="59">
        <v>2019</v>
      </c>
      <c r="F52" s="59">
        <v>2020</v>
      </c>
      <c r="G52" s="59">
        <v>2021</v>
      </c>
      <c r="H52" s="59">
        <v>2021</v>
      </c>
    </row>
    <row r="53" spans="2:9">
      <c r="B53" s="25" t="s">
        <v>412</v>
      </c>
      <c r="C53" s="59">
        <f>D33</f>
        <v>0.85704519791253397</v>
      </c>
      <c r="D53" s="59">
        <f t="shared" ref="D53:G53" si="15">E33</f>
        <v>0.84577788075633198</v>
      </c>
      <c r="E53" s="59">
        <f t="shared" si="15"/>
        <v>1.0517169088579812</v>
      </c>
      <c r="F53" s="59">
        <f t="shared" si="15"/>
        <v>0.89979109335872332</v>
      </c>
      <c r="G53" s="59">
        <f t="shared" si="15"/>
        <v>0.80665568882919647</v>
      </c>
      <c r="H53" s="59">
        <f>I33</f>
        <v>1.0693579678098863</v>
      </c>
    </row>
    <row r="54" spans="2:9">
      <c r="B54" s="25" t="s">
        <v>413</v>
      </c>
      <c r="C54" s="42">
        <f>360/C53</f>
        <v>420.04785847565057</v>
      </c>
      <c r="D54" s="42">
        <f t="shared" ref="D54:G54" si="16">360/D53</f>
        <v>425.64366861672011</v>
      </c>
      <c r="E54" s="42">
        <f t="shared" si="16"/>
        <v>342.29743476398994</v>
      </c>
      <c r="F54" s="42">
        <f t="shared" si="16"/>
        <v>400.09286895272407</v>
      </c>
      <c r="G54" s="42">
        <f t="shared" si="16"/>
        <v>446.28706520685978</v>
      </c>
      <c r="H54" s="42">
        <f>360/H53</f>
        <v>336.650598617882</v>
      </c>
    </row>
    <row r="55" spans="2:9">
      <c r="B55" s="11"/>
      <c r="C55" s="129"/>
      <c r="D55" s="129"/>
      <c r="E55" s="129"/>
      <c r="F55" s="129"/>
      <c r="G55" s="129"/>
      <c r="H55" s="129"/>
    </row>
    <row r="56" spans="2:9">
      <c r="B56" s="11"/>
      <c r="C56" s="60"/>
      <c r="D56" s="60"/>
      <c r="E56" s="60"/>
      <c r="F56" s="60"/>
      <c r="G56" s="60"/>
    </row>
    <row r="57" spans="2:9">
      <c r="C57">
        <v>2017</v>
      </c>
      <c r="D57">
        <v>2018</v>
      </c>
      <c r="E57">
        <v>2019</v>
      </c>
      <c r="F57">
        <v>2020</v>
      </c>
      <c r="G57">
        <v>2021</v>
      </c>
      <c r="H57">
        <v>2022</v>
      </c>
    </row>
    <row r="58" spans="2:9">
      <c r="B58" t="s">
        <v>414</v>
      </c>
      <c r="C58" s="60">
        <f>D42</f>
        <v>8.9063303089650284E-2</v>
      </c>
      <c r="D58" s="60">
        <f t="shared" ref="D58:F58" si="17">E42</f>
        <v>8.7969428193998875E-2</v>
      </c>
      <c r="E58" s="60">
        <f t="shared" si="17"/>
        <v>0.10528297716566977</v>
      </c>
      <c r="F58" s="60">
        <f t="shared" si="17"/>
        <v>0.13398411140833141</v>
      </c>
      <c r="G58" s="60">
        <f>H42</f>
        <v>3.5763761048132718E-2</v>
      </c>
      <c r="H58" s="60">
        <f>I42</f>
        <v>5.7984794839466516E-2</v>
      </c>
      <c r="I58" s="134">
        <f>AVERAGE(C58:G58)</f>
        <v>9.0412716181156608E-2</v>
      </c>
    </row>
    <row r="59" spans="2:9">
      <c r="B59" t="s">
        <v>415</v>
      </c>
      <c r="C59" s="60">
        <f>'Nøkkeltall konkurrenter'!W73</f>
        <v>4.5699729450955115E-2</v>
      </c>
      <c r="D59" s="60">
        <f>'Nøkkeltall konkurrenter'!X73</f>
        <v>2.5630305906457859E-2</v>
      </c>
      <c r="E59" s="60">
        <f>'Nøkkeltall konkurrenter'!Y73</f>
        <v>9.6886497834602459E-2</v>
      </c>
      <c r="F59" s="60">
        <f>'Nøkkeltall konkurrenter'!Z73</f>
        <v>0.12397885208657446</v>
      </c>
      <c r="G59" s="60">
        <f>'Nøkkeltall konkurrenter'!AA73</f>
        <v>0.10875364464311682</v>
      </c>
      <c r="I59" s="134">
        <f>AVERAGE(C59:G59)</f>
        <v>8.0189805984341347E-2</v>
      </c>
    </row>
    <row r="60" spans="2:9">
      <c r="B60" t="s">
        <v>416</v>
      </c>
      <c r="C60" s="1">
        <f>D33</f>
        <v>0.85704519791253397</v>
      </c>
      <c r="D60" s="1">
        <f t="shared" ref="D60:G60" si="18">E33</f>
        <v>0.84577788075633198</v>
      </c>
      <c r="E60" s="1">
        <f t="shared" si="18"/>
        <v>1.0517169088579812</v>
      </c>
      <c r="F60" s="1">
        <f t="shared" si="18"/>
        <v>0.89979109335872332</v>
      </c>
      <c r="G60" s="1">
        <f t="shared" si="18"/>
        <v>0.80665568882919647</v>
      </c>
      <c r="H60" s="1">
        <f>I33</f>
        <v>1.0693579678098863</v>
      </c>
      <c r="I60" s="158">
        <f>J33</f>
        <v>0.89658324710141635</v>
      </c>
    </row>
    <row r="61" spans="2:9">
      <c r="B61" t="s">
        <v>417</v>
      </c>
      <c r="C61" s="1">
        <f>'Nøkkeltall konkurrenter'!W63</f>
        <v>1.2789779187361618</v>
      </c>
      <c r="D61" s="1">
        <f>'Nøkkeltall konkurrenter'!X63</f>
        <v>1.1199979535629321</v>
      </c>
      <c r="E61" s="1">
        <f>'Nøkkeltall konkurrenter'!Y63</f>
        <v>1.5726231432610775</v>
      </c>
      <c r="F61" s="1">
        <f>'Nøkkeltall konkurrenter'!Z63</f>
        <v>1.2799853432543036</v>
      </c>
      <c r="G61" s="1">
        <f>'Nøkkeltall konkurrenter'!AA63</f>
        <v>1.6610331001135643</v>
      </c>
      <c r="I61" s="158">
        <f>AVERAGE(C61:G61)</f>
        <v>1.3825234917856077</v>
      </c>
    </row>
    <row r="67" spans="2:8">
      <c r="H67" s="129"/>
    </row>
    <row r="78" spans="2:8">
      <c r="C78">
        <f>2017</f>
        <v>2017</v>
      </c>
      <c r="D78">
        <v>2018</v>
      </c>
      <c r="E78">
        <v>2019</v>
      </c>
      <c r="F78">
        <v>2020</v>
      </c>
      <c r="G78">
        <v>2021</v>
      </c>
      <c r="H78">
        <v>2022</v>
      </c>
    </row>
    <row r="79" spans="2:8">
      <c r="B79" t="s">
        <v>363</v>
      </c>
      <c r="C79" s="60">
        <f t="shared" ref="C79:H79" si="19">C49</f>
        <v>7.3511228717119861E-2</v>
      </c>
      <c r="D79" s="60">
        <f t="shared" si="19"/>
        <v>7.1213076787347923E-2</v>
      </c>
      <c r="E79" s="60">
        <f t="shared" si="19"/>
        <v>0.10584434359630848</v>
      </c>
      <c r="F79" s="60">
        <f t="shared" si="19"/>
        <v>0.13157578272072204</v>
      </c>
      <c r="G79" s="60">
        <f t="shared" si="19"/>
        <v>3.3584776524240606E-2</v>
      </c>
      <c r="H79" s="60">
        <f t="shared" si="19"/>
        <v>6.3477853379180577E-2</v>
      </c>
    </row>
    <row r="80" spans="2:8">
      <c r="B80" t="s">
        <v>439</v>
      </c>
    </row>
    <row r="83" spans="2:8">
      <c r="C83">
        <v>2017</v>
      </c>
      <c r="D83">
        <v>2018</v>
      </c>
      <c r="E83">
        <v>2019</v>
      </c>
      <c r="F83">
        <v>2020</v>
      </c>
      <c r="G83">
        <v>2021</v>
      </c>
      <c r="H83">
        <v>2022</v>
      </c>
    </row>
    <row r="84" spans="2:8">
      <c r="B84" t="s">
        <v>350</v>
      </c>
      <c r="C84" s="60">
        <f t="shared" ref="C84:H84" si="20">C79</f>
        <v>7.3511228717119861E-2</v>
      </c>
      <c r="D84" s="60">
        <f t="shared" si="20"/>
        <v>7.1213076787347923E-2</v>
      </c>
      <c r="E84" s="60">
        <f t="shared" si="20"/>
        <v>0.10584434359630848</v>
      </c>
      <c r="F84" s="60">
        <f t="shared" si="20"/>
        <v>0.13157578272072204</v>
      </c>
      <c r="G84" s="60">
        <f t="shared" si="20"/>
        <v>3.3584776524240606E-2</v>
      </c>
      <c r="H84" s="60">
        <f t="shared" si="20"/>
        <v>6.3477853379180577E-2</v>
      </c>
    </row>
    <row r="85" spans="2:8">
      <c r="B85" t="s">
        <v>92</v>
      </c>
      <c r="C85" s="60">
        <f>'KVM før iterasjon'!$C$11</f>
        <v>6.1877606319032649E-2</v>
      </c>
      <c r="D85" s="60">
        <f>'KVM før iterasjon'!$C$11</f>
        <v>6.1877606319032649E-2</v>
      </c>
      <c r="E85" s="60">
        <f>'KVM før iterasjon'!$C$11</f>
        <v>6.1877606319032649E-2</v>
      </c>
      <c r="F85" s="60">
        <f>'KVM før iterasjon'!$C$11</f>
        <v>6.1877606319032649E-2</v>
      </c>
      <c r="G85" s="60">
        <f>'KVM før iterasjon'!$C$11</f>
        <v>6.1877606319032649E-2</v>
      </c>
      <c r="H85" s="60">
        <f>'KVM før iterasjon'!$C$11</f>
        <v>6.1877606319032649E-2</v>
      </c>
    </row>
  </sheetData>
  <mergeCells count="2">
    <mergeCell ref="B5:H5"/>
    <mergeCell ref="B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5DE3-176E-4A40-8646-46C10A907F5C}">
  <sheetPr codeName="Ark2"/>
  <dimension ref="A4:AO35"/>
  <sheetViews>
    <sheetView zoomScale="65" workbookViewId="0">
      <selection activeCell="H24" sqref="H24"/>
    </sheetView>
  </sheetViews>
  <sheetFormatPr defaultColWidth="11.44140625" defaultRowHeight="14.4"/>
  <cols>
    <col min="1" max="1" width="23.77734375" bestFit="1" customWidth="1"/>
    <col min="2" max="7" width="13.6640625" bestFit="1" customWidth="1"/>
    <col min="16" max="16" width="17" bestFit="1" customWidth="1"/>
    <col min="24" max="24" width="15" bestFit="1" customWidth="1"/>
    <col min="25" max="25" width="23.6640625" customWidth="1"/>
    <col min="26" max="26" width="18.77734375" bestFit="1" customWidth="1"/>
    <col min="34" max="34" width="11.77734375" customWidth="1"/>
    <col min="35" max="35" width="17.77734375" bestFit="1" customWidth="1"/>
    <col min="36" max="36" width="18.6640625" bestFit="1" customWidth="1"/>
    <col min="38" max="38" width="12.6640625" bestFit="1" customWidth="1"/>
    <col min="40" max="40" width="11.6640625" bestFit="1" customWidth="1"/>
  </cols>
  <sheetData>
    <row r="4" spans="1:39" ht="18">
      <c r="A4" s="573" t="s">
        <v>294</v>
      </c>
      <c r="B4" s="585"/>
      <c r="C4" s="585"/>
      <c r="D4" s="585"/>
      <c r="E4" s="585"/>
      <c r="F4" s="585"/>
      <c r="G4" s="585"/>
    </row>
    <row r="5" spans="1:39" ht="18">
      <c r="A5" s="11"/>
      <c r="B5">
        <v>2016</v>
      </c>
      <c r="C5">
        <v>2017</v>
      </c>
      <c r="D5">
        <v>2018</v>
      </c>
      <c r="E5">
        <v>2019</v>
      </c>
      <c r="F5">
        <v>2020</v>
      </c>
      <c r="G5">
        <v>2021</v>
      </c>
      <c r="H5">
        <v>2022</v>
      </c>
      <c r="Q5" s="586" t="s">
        <v>295</v>
      </c>
      <c r="R5" s="573"/>
      <c r="S5" s="573"/>
      <c r="AA5" s="55"/>
      <c r="AB5" s="45" t="s">
        <v>296</v>
      </c>
      <c r="AC5" s="55"/>
      <c r="AK5" s="586"/>
      <c r="AL5" s="570"/>
      <c r="AM5" s="570"/>
    </row>
    <row r="6" spans="1:39">
      <c r="A6" t="s">
        <v>297</v>
      </c>
      <c r="B6">
        <f>'Reformulering '!C43</f>
        <v>16057</v>
      </c>
      <c r="C6">
        <f>'Reformulering '!D43</f>
        <v>20237</v>
      </c>
      <c r="D6">
        <f>'Reformulering '!E43</f>
        <v>23324</v>
      </c>
      <c r="E6">
        <f>'Reformulering '!F43</f>
        <v>28399</v>
      </c>
      <c r="F6" s="159">
        <f>'Reformulering '!G43</f>
        <v>15830</v>
      </c>
      <c r="G6">
        <f>'Reformulering '!H43</f>
        <v>25516</v>
      </c>
      <c r="H6" s="22">
        <f>26331261/1000</f>
        <v>26331.260999999999</v>
      </c>
      <c r="P6" s="46" t="s">
        <v>298</v>
      </c>
      <c r="Q6" s="46">
        <v>2016</v>
      </c>
      <c r="R6" s="46">
        <v>2017</v>
      </c>
      <c r="S6" s="46">
        <v>2018</v>
      </c>
      <c r="T6" s="46">
        <v>2019</v>
      </c>
      <c r="U6" s="46">
        <v>2020</v>
      </c>
      <c r="V6" s="46">
        <v>2021</v>
      </c>
      <c r="W6" s="46">
        <v>2022</v>
      </c>
      <c r="X6" s="85" t="s">
        <v>299</v>
      </c>
      <c r="Z6" s="46" t="s">
        <v>96</v>
      </c>
      <c r="AA6" s="46">
        <v>2016</v>
      </c>
      <c r="AB6" s="46">
        <v>2017</v>
      </c>
      <c r="AC6" s="46">
        <v>2018</v>
      </c>
      <c r="AD6" s="46">
        <v>2019</v>
      </c>
      <c r="AE6" s="46">
        <v>2020</v>
      </c>
      <c r="AF6" s="46">
        <v>2021</v>
      </c>
      <c r="AG6" s="46">
        <v>2022</v>
      </c>
      <c r="AH6" s="46" t="s">
        <v>300</v>
      </c>
    </row>
    <row r="7" spans="1:39">
      <c r="A7" t="s">
        <v>301</v>
      </c>
      <c r="B7">
        <f>'Reformulering '!K41</f>
        <v>6756</v>
      </c>
      <c r="C7">
        <f>'Reformulering '!L41</f>
        <v>7340</v>
      </c>
      <c r="D7">
        <f>'Reformulering '!M41</f>
        <v>8178</v>
      </c>
      <c r="E7" s="159">
        <f>'Reformulering '!N41</f>
        <v>12749</v>
      </c>
      <c r="F7" s="159">
        <f>'Reformulering '!O41</f>
        <v>18900</v>
      </c>
      <c r="G7">
        <f>'Reformulering '!P41</f>
        <v>17752</v>
      </c>
      <c r="H7" s="22">
        <f>18960897/1000</f>
        <v>18960.897000000001</v>
      </c>
      <c r="P7" s="46" t="s">
        <v>37</v>
      </c>
      <c r="Q7">
        <f>'Reformulering '!C38</f>
        <v>4009</v>
      </c>
      <c r="R7">
        <f>'Reformulering '!D38</f>
        <v>4701</v>
      </c>
      <c r="S7">
        <f>'Reformulering '!E38</f>
        <v>4267</v>
      </c>
      <c r="T7">
        <f>'Reformulering '!F38</f>
        <v>4621</v>
      </c>
      <c r="U7">
        <f>'Reformulering '!G38</f>
        <v>5866</v>
      </c>
      <c r="V7">
        <f>'Reformulering '!H38</f>
        <v>6710</v>
      </c>
      <c r="W7">
        <v>6388</v>
      </c>
      <c r="X7" s="85"/>
      <c r="Z7" s="46" t="s">
        <v>302</v>
      </c>
      <c r="AA7">
        <f>'Reformulering '!K32</f>
        <v>15679</v>
      </c>
      <c r="AB7">
        <f>'Reformulering '!L32</f>
        <v>19709</v>
      </c>
      <c r="AC7">
        <f>'Reformulering '!M32</f>
        <v>21728</v>
      </c>
      <c r="AD7">
        <f>'Reformulering '!N32</f>
        <v>24661</v>
      </c>
      <c r="AE7">
        <f>'Reformulering '!O32</f>
        <v>26411</v>
      </c>
      <c r="AF7">
        <f>'Reformulering '!P32</f>
        <v>28541</v>
      </c>
      <c r="AG7">
        <f>Forecast!I48</f>
        <v>39383.858999999997</v>
      </c>
    </row>
    <row r="8" spans="1:39">
      <c r="A8" s="11" t="s">
        <v>303</v>
      </c>
      <c r="B8" s="1">
        <f t="shared" ref="B8:G8" si="0">B6/B7</f>
        <v>2.3767021906453523</v>
      </c>
      <c r="C8" s="1">
        <f t="shared" si="0"/>
        <v>2.7570844686648504</v>
      </c>
      <c r="D8" s="1">
        <f t="shared" si="0"/>
        <v>2.8520420640743458</v>
      </c>
      <c r="E8" s="1">
        <f t="shared" si="0"/>
        <v>2.2275472586085181</v>
      </c>
      <c r="F8" s="1">
        <f t="shared" si="0"/>
        <v>0.83756613756613751</v>
      </c>
      <c r="G8" s="1">
        <f t="shared" si="0"/>
        <v>1.4373591707976565</v>
      </c>
      <c r="H8" s="1">
        <f>H6/H7</f>
        <v>1.388713888377749</v>
      </c>
      <c r="P8" s="46" t="s">
        <v>304</v>
      </c>
      <c r="Q8">
        <v>365</v>
      </c>
      <c r="R8">
        <v>365</v>
      </c>
      <c r="S8">
        <v>365</v>
      </c>
      <c r="T8">
        <v>365</v>
      </c>
      <c r="U8">
        <v>365</v>
      </c>
      <c r="V8">
        <v>365</v>
      </c>
      <c r="W8">
        <v>365</v>
      </c>
      <c r="X8" s="85"/>
      <c r="Z8" s="46" t="s">
        <v>305</v>
      </c>
      <c r="AA8">
        <f>'Reformulering '!K44</f>
        <v>102877</v>
      </c>
      <c r="AB8">
        <f>'Reformulering '!L44</f>
        <v>101314</v>
      </c>
      <c r="AC8">
        <f>'Reformulering '!M44</f>
        <v>98929</v>
      </c>
      <c r="AD8">
        <f>'Reformulering '!N44</f>
        <v>100398</v>
      </c>
      <c r="AE8">
        <f>'Reformulering '!O44</f>
        <v>102040</v>
      </c>
      <c r="AF8">
        <f>'Reformulering '!P44</f>
        <v>138156</v>
      </c>
      <c r="AG8" s="22">
        <f>Forecast!I60</f>
        <v>140417.739</v>
      </c>
    </row>
    <row r="9" spans="1:39" ht="15" thickBot="1">
      <c r="P9" s="46" t="s">
        <v>50</v>
      </c>
      <c r="Q9">
        <f>'Reformulering '!C8</f>
        <v>15437</v>
      </c>
      <c r="R9">
        <f>'Reformulering '!D8</f>
        <v>17518</v>
      </c>
      <c r="S9">
        <f>'Reformulering '!E8</f>
        <v>13487</v>
      </c>
      <c r="T9">
        <f>'Reformulering '!F8</f>
        <v>17021</v>
      </c>
      <c r="U9">
        <f>'Reformulering '!G8</f>
        <v>18287</v>
      </c>
      <c r="V9">
        <f>'Reformulering '!H8</f>
        <v>24404</v>
      </c>
      <c r="W9" s="22">
        <f>Forecast!I6</f>
        <v>31817.905999999999</v>
      </c>
      <c r="X9" s="85"/>
      <c r="Z9" s="48" t="s">
        <v>210</v>
      </c>
      <c r="AA9" s="56">
        <f>AA7/AA8</f>
        <v>0.15240529953245138</v>
      </c>
      <c r="AB9" s="56">
        <f t="shared" ref="AB9:AF9" si="1">AB7/AB8</f>
        <v>0.19453382553250292</v>
      </c>
      <c r="AC9" s="56">
        <f t="shared" si="1"/>
        <v>0.21963226152088872</v>
      </c>
      <c r="AD9" s="56">
        <f t="shared" si="1"/>
        <v>0.2456323831152015</v>
      </c>
      <c r="AE9" s="56">
        <f t="shared" si="1"/>
        <v>0.25882987063896512</v>
      </c>
      <c r="AF9" s="56">
        <f t="shared" si="1"/>
        <v>0.20658530936043312</v>
      </c>
      <c r="AG9" s="2">
        <f>AG7/AG8</f>
        <v>0.28047637912756873</v>
      </c>
      <c r="AH9" s="57">
        <f>AVERAGE(AA9:AG9)</f>
        <v>0.22258504697543025</v>
      </c>
    </row>
    <row r="10" spans="1:39" ht="15" thickBot="1">
      <c r="P10" s="48" t="s">
        <v>306</v>
      </c>
      <c r="Q10" s="49">
        <f>(Q7*Q8)/Q9</f>
        <v>94.790762453844664</v>
      </c>
      <c r="R10" s="49">
        <f>(R7*R8)/R9</f>
        <v>97.948681356319213</v>
      </c>
      <c r="S10" s="49">
        <f t="shared" ref="S10:V10" si="2">(S7*S8)/S9</f>
        <v>115.47823830355156</v>
      </c>
      <c r="T10" s="49">
        <f>(T7*T8)/T9</f>
        <v>99.093179014158977</v>
      </c>
      <c r="U10" s="49">
        <f t="shared" si="2"/>
        <v>117.08262700278887</v>
      </c>
      <c r="V10" s="49">
        <f t="shared" si="2"/>
        <v>100.35854777905261</v>
      </c>
      <c r="W10" s="82">
        <f>(W7*W8)/W9</f>
        <v>73.280120948248452</v>
      </c>
      <c r="X10" s="271">
        <f>AVERAGE(Q10:W10)</f>
        <v>99.718879551137761</v>
      </c>
      <c r="Z10" s="46"/>
      <c r="AK10" s="22"/>
      <c r="AL10" s="22"/>
      <c r="AM10" s="22"/>
    </row>
    <row r="11" spans="1:39">
      <c r="B11">
        <v>2016</v>
      </c>
      <c r="C11">
        <v>2017</v>
      </c>
      <c r="D11">
        <v>2018</v>
      </c>
      <c r="E11">
        <v>2019</v>
      </c>
      <c r="F11">
        <v>2020</v>
      </c>
      <c r="G11">
        <v>2021</v>
      </c>
      <c r="H11">
        <v>2022</v>
      </c>
      <c r="P11" s="51"/>
      <c r="Q11" s="51"/>
      <c r="R11" s="51"/>
      <c r="S11" s="51"/>
      <c r="T11" s="51"/>
      <c r="U11" s="51"/>
      <c r="V11" s="51"/>
      <c r="X11" s="85"/>
      <c r="Z11" s="46" t="s">
        <v>96</v>
      </c>
      <c r="AA11">
        <v>2016</v>
      </c>
      <c r="AB11">
        <v>2017</v>
      </c>
      <c r="AC11">
        <v>2018</v>
      </c>
      <c r="AD11">
        <v>2019</v>
      </c>
      <c r="AE11">
        <v>2020</v>
      </c>
      <c r="AF11">
        <v>2021</v>
      </c>
      <c r="AG11">
        <v>2022</v>
      </c>
    </row>
    <row r="12" spans="1:39">
      <c r="A12" t="s">
        <v>297</v>
      </c>
      <c r="B12">
        <f t="shared" ref="B12:G12" si="3">B6</f>
        <v>16057</v>
      </c>
      <c r="C12">
        <f t="shared" si="3"/>
        <v>20237</v>
      </c>
      <c r="D12">
        <f t="shared" si="3"/>
        <v>23324</v>
      </c>
      <c r="E12">
        <f t="shared" si="3"/>
        <v>28399</v>
      </c>
      <c r="F12">
        <f t="shared" si="3"/>
        <v>15830</v>
      </c>
      <c r="G12">
        <f t="shared" si="3"/>
        <v>25516</v>
      </c>
      <c r="H12">
        <f>Forecast!I41</f>
        <v>26331.261999999999</v>
      </c>
      <c r="P12" s="46" t="s">
        <v>307</v>
      </c>
      <c r="Q12" s="51">
        <f>'Reformulering '!C50</f>
        <v>2820</v>
      </c>
      <c r="R12" s="51">
        <f>'Reformulering '!D50</f>
        <v>2359</v>
      </c>
      <c r="S12" s="51">
        <f>'Reformulering '!E50</f>
        <v>1888</v>
      </c>
      <c r="T12" s="51">
        <f>'Reformulering '!F50</f>
        <v>1884</v>
      </c>
      <c r="U12" s="51">
        <f>'Reformulering '!G50</f>
        <v>2170</v>
      </c>
      <c r="V12" s="51">
        <f>'Reformulering '!H50</f>
        <v>12972</v>
      </c>
      <c r="W12" s="22">
        <f>Forecast!I37</f>
        <v>19073.912</v>
      </c>
      <c r="X12" s="85"/>
      <c r="Z12" s="46" t="s">
        <v>308</v>
      </c>
      <c r="AA12">
        <f>'Reformulering '!K42</f>
        <v>87198</v>
      </c>
      <c r="AB12">
        <f>'Reformulering '!L42</f>
        <v>81605</v>
      </c>
      <c r="AC12">
        <f>'Reformulering '!M42</f>
        <v>77201</v>
      </c>
      <c r="AD12">
        <f>'Reformulering '!N42</f>
        <v>75737</v>
      </c>
      <c r="AE12">
        <f>'Reformulering '!O42</f>
        <v>75629</v>
      </c>
      <c r="AF12">
        <f>'Reformulering '!P42</f>
        <v>109615</v>
      </c>
      <c r="AG12">
        <f>Forecast!I58</f>
        <v>101033.88</v>
      </c>
    </row>
    <row r="13" spans="1:39">
      <c r="A13" t="s">
        <v>37</v>
      </c>
      <c r="B13">
        <f>'Reformulering '!C38</f>
        <v>4009</v>
      </c>
      <c r="C13">
        <f>'Reformulering '!D38</f>
        <v>4701</v>
      </c>
      <c r="D13">
        <f>'Reformulering '!E38</f>
        <v>4267</v>
      </c>
      <c r="E13">
        <f>'Reformulering '!F38</f>
        <v>4621</v>
      </c>
      <c r="F13">
        <f>'Reformulering '!G38</f>
        <v>5866</v>
      </c>
      <c r="G13">
        <f>'Reformulering '!H38</f>
        <v>6710</v>
      </c>
      <c r="H13">
        <f>'Reformulering '!I49</f>
        <v>6387.9629999999997</v>
      </c>
      <c r="P13" s="46" t="s">
        <v>304</v>
      </c>
      <c r="Q13">
        <v>365</v>
      </c>
      <c r="R13">
        <v>365</v>
      </c>
      <c r="S13">
        <v>365</v>
      </c>
      <c r="T13">
        <v>365</v>
      </c>
      <c r="U13">
        <v>365</v>
      </c>
      <c r="V13">
        <v>365</v>
      </c>
      <c r="W13">
        <v>365</v>
      </c>
      <c r="X13" s="85"/>
      <c r="Z13" s="46" t="s">
        <v>305</v>
      </c>
      <c r="AA13">
        <f t="shared" ref="AA13:AF13" si="4">AA8</f>
        <v>102877</v>
      </c>
      <c r="AB13">
        <f t="shared" si="4"/>
        <v>101314</v>
      </c>
      <c r="AC13">
        <f t="shared" si="4"/>
        <v>98929</v>
      </c>
      <c r="AD13">
        <f t="shared" si="4"/>
        <v>100398</v>
      </c>
      <c r="AE13">
        <f t="shared" si="4"/>
        <v>102040</v>
      </c>
      <c r="AF13">
        <f t="shared" si="4"/>
        <v>138156</v>
      </c>
      <c r="AG13" s="22">
        <f>AG8</f>
        <v>140417.739</v>
      </c>
    </row>
    <row r="14" spans="1:39" ht="15" thickBot="1">
      <c r="A14" t="s">
        <v>309</v>
      </c>
      <c r="B14">
        <f t="shared" ref="B14:G14" si="5">B7</f>
        <v>6756</v>
      </c>
      <c r="C14">
        <f t="shared" si="5"/>
        <v>7340</v>
      </c>
      <c r="D14">
        <f t="shared" si="5"/>
        <v>8178</v>
      </c>
      <c r="E14">
        <f t="shared" si="5"/>
        <v>12749</v>
      </c>
      <c r="F14">
        <f t="shared" si="5"/>
        <v>18900</v>
      </c>
      <c r="G14">
        <f t="shared" si="5"/>
        <v>17752</v>
      </c>
      <c r="H14" s="22">
        <f>Forecast!I57</f>
        <v>18960.897000000001</v>
      </c>
      <c r="P14" s="46" t="s">
        <v>310</v>
      </c>
      <c r="Q14">
        <f>'Reformulering '!C5+'Reformulering '!C7</f>
        <v>65776</v>
      </c>
      <c r="R14">
        <f>'Reformulering '!D5+'Reformulering '!D7</f>
        <v>70207</v>
      </c>
      <c r="S14">
        <f>'Reformulering '!E5+'Reformulering '!E7</f>
        <v>63588</v>
      </c>
      <c r="T14">
        <f>'Reformulering '!F5+'Reformulering '!F7</f>
        <v>72391</v>
      </c>
      <c r="U14">
        <f>'Reformulering '!G5+'Reformulering '!G7</f>
        <v>74393</v>
      </c>
      <c r="V14">
        <f>'Reformulering '!H5+'Reformulering '!H7</f>
        <v>92889</v>
      </c>
      <c r="W14" s="22">
        <f>'Reformulering '!I5+'Reformulering '!I7</f>
        <v>129126.02900000001</v>
      </c>
      <c r="X14" s="85"/>
      <c r="Z14" s="48" t="s">
        <v>212</v>
      </c>
      <c r="AA14" s="56">
        <f>AA12/AA13</f>
        <v>0.84759470046754859</v>
      </c>
      <c r="AB14" s="56">
        <f t="shared" ref="AB14:AF14" si="6">AB12/AB13</f>
        <v>0.80546617446749713</v>
      </c>
      <c r="AC14" s="56">
        <f t="shared" si="6"/>
        <v>0.78036773847911123</v>
      </c>
      <c r="AD14" s="56">
        <f t="shared" si="6"/>
        <v>0.75436761688479848</v>
      </c>
      <c r="AE14" s="56">
        <f t="shared" si="6"/>
        <v>0.74117012936103488</v>
      </c>
      <c r="AF14" s="56">
        <f t="shared" si="6"/>
        <v>0.79341469063956682</v>
      </c>
      <c r="AG14" s="2">
        <f>AG12/AG13</f>
        <v>0.71952362087243127</v>
      </c>
      <c r="AH14" s="57">
        <f>AVERAGE(AA14:AG14)</f>
        <v>0.77741495302456987</v>
      </c>
      <c r="AL14" s="22"/>
    </row>
    <row r="15" spans="1:39">
      <c r="A15" s="11" t="s">
        <v>311</v>
      </c>
      <c r="B15" s="1">
        <f t="shared" ref="B15:G15" si="7">(B12-B13)/B14</f>
        <v>1.7833037300177619</v>
      </c>
      <c r="C15" s="1">
        <f t="shared" si="7"/>
        <v>2.1166212534059947</v>
      </c>
      <c r="D15" s="1">
        <f t="shared" si="7"/>
        <v>2.3302763511861091</v>
      </c>
      <c r="E15" s="1">
        <f t="shared" si="7"/>
        <v>1.8650874578398307</v>
      </c>
      <c r="F15" s="1">
        <f t="shared" si="7"/>
        <v>0.52719576719576722</v>
      </c>
      <c r="G15" s="1">
        <f t="shared" si="7"/>
        <v>1.0593735917079765</v>
      </c>
      <c r="H15" s="1">
        <f>(H12-H13)/H14</f>
        <v>1.0518120002445031</v>
      </c>
      <c r="P15" s="46" t="s">
        <v>312</v>
      </c>
      <c r="Q15" s="6">
        <f>(Q14/Q12)</f>
        <v>23.324822695035461</v>
      </c>
      <c r="R15" s="6">
        <f t="shared" ref="R15:V15" si="8">(R14/R12)</f>
        <v>29.761339550657059</v>
      </c>
      <c r="S15" s="6">
        <f t="shared" si="8"/>
        <v>33.680084745762713</v>
      </c>
      <c r="T15" s="6">
        <f t="shared" si="8"/>
        <v>38.424097664543524</v>
      </c>
      <c r="U15" s="6">
        <f t="shared" si="8"/>
        <v>34.282488479262675</v>
      </c>
      <c r="V15" s="6">
        <f t="shared" si="8"/>
        <v>7.1607308048103606</v>
      </c>
      <c r="W15" s="6">
        <f>(W14/W12)</f>
        <v>6.7697716650889452</v>
      </c>
      <c r="X15" s="85"/>
      <c r="Z15" s="46"/>
      <c r="AE15" s="27"/>
    </row>
    <row r="16" spans="1:39" ht="15" thickBot="1">
      <c r="P16" s="48" t="s">
        <v>313</v>
      </c>
      <c r="Q16" s="50">
        <f>Q13/Q15</f>
        <v>15.648564826076381</v>
      </c>
      <c r="R16" s="50">
        <f t="shared" ref="R16:V16" si="9">R13/R15</f>
        <v>12.264232911248167</v>
      </c>
      <c r="S16" s="50">
        <f t="shared" si="9"/>
        <v>10.83726489274706</v>
      </c>
      <c r="T16" s="50">
        <f t="shared" si="9"/>
        <v>9.4992471439819877</v>
      </c>
      <c r="U16" s="50">
        <f t="shared" si="9"/>
        <v>10.64683505168497</v>
      </c>
      <c r="V16" s="50">
        <f t="shared" si="9"/>
        <v>50.972450989891165</v>
      </c>
      <c r="W16" s="67">
        <f>W13/W15</f>
        <v>53.916146372006835</v>
      </c>
      <c r="X16" s="271">
        <f>AVERAGE(S16:W16)</f>
        <v>27.174388890062403</v>
      </c>
      <c r="Z16" s="46" t="s">
        <v>314</v>
      </c>
      <c r="AA16">
        <f t="shared" ref="AA16:AF16" si="10">AA12</f>
        <v>87198</v>
      </c>
      <c r="AB16">
        <f t="shared" si="10"/>
        <v>81605</v>
      </c>
      <c r="AC16">
        <f t="shared" si="10"/>
        <v>77201</v>
      </c>
      <c r="AD16">
        <f t="shared" si="10"/>
        <v>75737</v>
      </c>
      <c r="AE16">
        <f t="shared" si="10"/>
        <v>75629</v>
      </c>
      <c r="AF16">
        <f t="shared" si="10"/>
        <v>109615</v>
      </c>
      <c r="AG16">
        <f>AG12</f>
        <v>101033.88</v>
      </c>
    </row>
    <row r="17" spans="1:41">
      <c r="X17" s="85"/>
      <c r="Z17" s="46" t="s">
        <v>302</v>
      </c>
      <c r="AA17">
        <f t="shared" ref="AA17:AF17" si="11">AA7</f>
        <v>15679</v>
      </c>
      <c r="AB17">
        <f t="shared" si="11"/>
        <v>19709</v>
      </c>
      <c r="AC17">
        <f t="shared" si="11"/>
        <v>21728</v>
      </c>
      <c r="AD17">
        <f t="shared" si="11"/>
        <v>24661</v>
      </c>
      <c r="AE17">
        <f t="shared" si="11"/>
        <v>26411</v>
      </c>
      <c r="AF17">
        <f t="shared" si="11"/>
        <v>28541</v>
      </c>
      <c r="AG17">
        <f>AG7</f>
        <v>39383.858999999997</v>
      </c>
    </row>
    <row r="18" spans="1:41" ht="15" thickBot="1">
      <c r="B18">
        <v>2016</v>
      </c>
      <c r="C18">
        <v>2017</v>
      </c>
      <c r="D18">
        <v>2018</v>
      </c>
      <c r="E18">
        <v>2019</v>
      </c>
      <c r="F18">
        <v>2020</v>
      </c>
      <c r="G18">
        <v>2021</v>
      </c>
      <c r="H18">
        <v>2022</v>
      </c>
      <c r="P18" s="46" t="s">
        <v>50</v>
      </c>
      <c r="Q18">
        <f>'Reformulering '!C8</f>
        <v>15437</v>
      </c>
      <c r="R18">
        <f>'Reformulering '!D8</f>
        <v>17518</v>
      </c>
      <c r="S18">
        <f>'Reformulering '!E8</f>
        <v>13487</v>
      </c>
      <c r="T18">
        <f>'Reformulering '!F8</f>
        <v>17021</v>
      </c>
      <c r="U18">
        <f>'Reformulering '!G8</f>
        <v>18287</v>
      </c>
      <c r="V18">
        <f>'Reformulering '!H8</f>
        <v>24404</v>
      </c>
      <c r="W18" s="22">
        <f>Forecast!I6</f>
        <v>31817.905999999999</v>
      </c>
      <c r="X18" s="85"/>
      <c r="Z18" s="48" t="s">
        <v>137</v>
      </c>
      <c r="AA18" s="56">
        <f>AA16/AA17</f>
        <v>5.5614516231902549</v>
      </c>
      <c r="AB18" s="56">
        <f t="shared" ref="AB18:AE18" si="12">AB16/AB17</f>
        <v>4.1404941904713581</v>
      </c>
      <c r="AC18" s="56">
        <f t="shared" si="12"/>
        <v>3.5530651693667159</v>
      </c>
      <c r="AD18" s="56">
        <f t="shared" si="12"/>
        <v>3.0711244475082116</v>
      </c>
      <c r="AE18" s="56">
        <f t="shared" si="12"/>
        <v>2.8635417061073039</v>
      </c>
      <c r="AF18" s="56">
        <f>AF16/AF17</f>
        <v>3.840615255246838</v>
      </c>
      <c r="AG18" s="2">
        <f>AG16/AG17</f>
        <v>2.5653626273646779</v>
      </c>
      <c r="AH18" s="57">
        <f>AVERAGE(AA18:AG18)</f>
        <v>3.6565221456079087</v>
      </c>
    </row>
    <row r="19" spans="1:41">
      <c r="A19" t="str">
        <f t="shared" ref="A19:F19" si="13">A8</f>
        <v>Likviditetsgrad 1</v>
      </c>
      <c r="B19" s="2">
        <f t="shared" si="13"/>
        <v>2.3767021906453523</v>
      </c>
      <c r="C19" s="2">
        <f t="shared" si="13"/>
        <v>2.7570844686648504</v>
      </c>
      <c r="D19" s="2">
        <f t="shared" si="13"/>
        <v>2.8520420640743458</v>
      </c>
      <c r="E19" s="2">
        <f t="shared" si="13"/>
        <v>2.2275472586085181</v>
      </c>
      <c r="F19" s="2">
        <f t="shared" si="13"/>
        <v>0.83756613756613751</v>
      </c>
      <c r="G19" s="2">
        <f>G8</f>
        <v>1.4373591707976565</v>
      </c>
      <c r="H19" s="1">
        <f>H8</f>
        <v>1.388713888377749</v>
      </c>
      <c r="P19" s="46" t="s">
        <v>315</v>
      </c>
      <c r="Q19">
        <v>3104</v>
      </c>
      <c r="R19">
        <f>'Reformulering '!C38</f>
        <v>4009</v>
      </c>
      <c r="S19">
        <f>'Reformulering '!D38</f>
        <v>4701</v>
      </c>
      <c r="T19">
        <f>'Reformulering '!E38</f>
        <v>4267</v>
      </c>
      <c r="U19">
        <f>'Reformulering '!F38</f>
        <v>4621</v>
      </c>
      <c r="V19">
        <f>'Reformulering '!G38</f>
        <v>5866</v>
      </c>
      <c r="W19" s="22">
        <f>V20</f>
        <v>6710</v>
      </c>
      <c r="X19" s="85"/>
      <c r="AJ19" s="183"/>
    </row>
    <row r="20" spans="1:41">
      <c r="A20" t="str">
        <f t="shared" ref="A20:F20" si="14">A15</f>
        <v>Likviditetsgrad 2</v>
      </c>
      <c r="B20" s="2">
        <f t="shared" si="14"/>
        <v>1.7833037300177619</v>
      </c>
      <c r="C20" s="2">
        <f t="shared" si="14"/>
        <v>2.1166212534059947</v>
      </c>
      <c r="D20" s="2">
        <f t="shared" si="14"/>
        <v>2.3302763511861091</v>
      </c>
      <c r="E20" s="2">
        <f t="shared" si="14"/>
        <v>1.8650874578398307</v>
      </c>
      <c r="F20" s="2">
        <f t="shared" si="14"/>
        <v>0.52719576719576722</v>
      </c>
      <c r="G20" s="2">
        <f>G15</f>
        <v>1.0593735917079765</v>
      </c>
      <c r="H20" s="1">
        <f>H15</f>
        <v>1.0518120002445031</v>
      </c>
      <c r="P20" s="46" t="s">
        <v>316</v>
      </c>
      <c r="Q20">
        <f>'Reformulering '!C49</f>
        <v>4009</v>
      </c>
      <c r="R20">
        <f>'Reformulering '!D49</f>
        <v>4701</v>
      </c>
      <c r="S20">
        <f>'Reformulering '!E49</f>
        <v>4267</v>
      </c>
      <c r="T20">
        <f>'Reformulering '!F49</f>
        <v>4621</v>
      </c>
      <c r="U20">
        <f>'Reformulering '!G49</f>
        <v>5866</v>
      </c>
      <c r="V20">
        <f>'Reformulering '!H49</f>
        <v>6710</v>
      </c>
      <c r="W20" s="22">
        <f>Forecast!I36</f>
        <v>6387.9629999999997</v>
      </c>
      <c r="X20" s="85"/>
      <c r="AE20">
        <v>2020</v>
      </c>
      <c r="AF20">
        <v>2021</v>
      </c>
      <c r="AG20">
        <v>2022</v>
      </c>
      <c r="AJ20" s="202" t="s">
        <v>96</v>
      </c>
      <c r="AK20" s="182">
        <v>2020</v>
      </c>
      <c r="AL20" s="153">
        <v>2021</v>
      </c>
      <c r="AM20" s="153">
        <v>2022</v>
      </c>
      <c r="AN20" s="153" t="s">
        <v>7</v>
      </c>
      <c r="AO20" s="178"/>
    </row>
    <row r="21" spans="1:41">
      <c r="P21" s="47" t="s">
        <v>55</v>
      </c>
      <c r="Q21" s="11">
        <f>Q18+Q20-Q19</f>
        <v>16342</v>
      </c>
      <c r="R21" s="11">
        <f t="shared" ref="R21:V21" si="15">R18+R20-R19</f>
        <v>18210</v>
      </c>
      <c r="S21" s="11">
        <f t="shared" si="15"/>
        <v>13053</v>
      </c>
      <c r="T21" s="11">
        <f t="shared" si="15"/>
        <v>17375</v>
      </c>
      <c r="U21" s="11">
        <f t="shared" si="15"/>
        <v>19532</v>
      </c>
      <c r="V21" s="11">
        <f t="shared" si="15"/>
        <v>25248</v>
      </c>
      <c r="W21" s="110">
        <f>W18+W20-W19</f>
        <v>31495.868999999999</v>
      </c>
      <c r="X21" s="85"/>
      <c r="Z21" s="46" t="s">
        <v>317</v>
      </c>
      <c r="AA21">
        <f>'Reformulering '!C16</f>
        <v>11766</v>
      </c>
      <c r="AB21">
        <f>'Reformulering '!D16</f>
        <v>8233</v>
      </c>
      <c r="AC21">
        <f>'Reformulering '!E16</f>
        <v>7175</v>
      </c>
      <c r="AD21">
        <f>'Reformulering '!F16</f>
        <v>9780</v>
      </c>
      <c r="AE21">
        <f>'Reformulering '!G16</f>
        <v>12783</v>
      </c>
      <c r="AF21">
        <f>'Reformulering '!H16</f>
        <v>4259</v>
      </c>
      <c r="AG21" s="22">
        <f>'Reformulering '!I16</f>
        <v>9613.9340000000047</v>
      </c>
      <c r="AJ21" s="182" t="s">
        <v>317</v>
      </c>
      <c r="AK21" s="208">
        <v>12783</v>
      </c>
      <c r="AL21" s="205">
        <v>4259</v>
      </c>
      <c r="AM21" s="205">
        <v>9614</v>
      </c>
      <c r="AN21" s="205"/>
      <c r="AO21" s="178"/>
    </row>
    <row r="22" spans="1:41" ht="15" thickBot="1">
      <c r="P22" s="46" t="s">
        <v>318</v>
      </c>
      <c r="Q22">
        <f>'Reformulering '!C52</f>
        <v>3289</v>
      </c>
      <c r="R22">
        <f>('Reformulering '!D52+3289)/2</f>
        <v>3786.5</v>
      </c>
      <c r="S22">
        <f>('Reformulering '!E52+4284)/2</f>
        <v>4202.5</v>
      </c>
      <c r="T22">
        <f>('Reformulering '!F52+4121)/2</f>
        <v>4793.5</v>
      </c>
      <c r="U22">
        <f>('Reformulering '!G52+5466)/2</f>
        <v>5621.5</v>
      </c>
      <c r="V22">
        <f>('Reformulering '!H52+5777)/2</f>
        <v>7148.5</v>
      </c>
      <c r="W22" s="22">
        <f>('Reformulering '!I52+'Reformulering '!H52)/2</f>
        <v>9579.3945000000003</v>
      </c>
      <c r="X22" s="85"/>
      <c r="Z22" s="46" t="s">
        <v>319</v>
      </c>
      <c r="AA22" s="22">
        <f>-'Reformulering '!C24</f>
        <v>3711</v>
      </c>
      <c r="AB22" s="22">
        <f>-'Reformulering '!D24</f>
        <v>2938</v>
      </c>
      <c r="AC22" s="22">
        <f>-'Reformulering '!E24</f>
        <v>2676</v>
      </c>
      <c r="AD22" s="22">
        <f>-'Reformulering '!F24</f>
        <v>2337</v>
      </c>
      <c r="AE22" s="22">
        <f>'Reformulering '!K26</f>
        <v>1566</v>
      </c>
      <c r="AF22" s="22">
        <f>1527</f>
        <v>1527</v>
      </c>
      <c r="AG22" s="22">
        <f>'Reformulering '!J26</f>
        <v>-4269</v>
      </c>
      <c r="AJ22" s="203" t="s">
        <v>320</v>
      </c>
      <c r="AK22" s="204">
        <v>1566</v>
      </c>
      <c r="AL22" s="207">
        <v>1527</v>
      </c>
      <c r="AM22" s="207">
        <v>-4269</v>
      </c>
      <c r="AN22" s="207"/>
      <c r="AO22" s="178"/>
    </row>
    <row r="23" spans="1:41" ht="15" thickBot="1">
      <c r="B23">
        <v>2016</v>
      </c>
      <c r="C23">
        <v>2017</v>
      </c>
      <c r="D23">
        <v>2018</v>
      </c>
      <c r="E23">
        <v>2019</v>
      </c>
      <c r="F23">
        <v>2020</v>
      </c>
      <c r="G23">
        <v>2021</v>
      </c>
      <c r="P23" s="46" t="s">
        <v>304</v>
      </c>
      <c r="Q23">
        <v>365</v>
      </c>
      <c r="R23">
        <v>365</v>
      </c>
      <c r="S23">
        <v>365</v>
      </c>
      <c r="T23">
        <v>365</v>
      </c>
      <c r="U23">
        <v>365</v>
      </c>
      <c r="V23">
        <v>365</v>
      </c>
      <c r="W23" s="22">
        <v>365</v>
      </c>
      <c r="X23" s="85"/>
      <c r="Z23" s="48" t="s">
        <v>321</v>
      </c>
      <c r="AA23" s="49">
        <f t="shared" ref="AA23:AF23" si="16">AA21/AA22</f>
        <v>3.1705739692805173</v>
      </c>
      <c r="AB23" s="49">
        <f t="shared" si="16"/>
        <v>2.8022464261402313</v>
      </c>
      <c r="AC23" s="49">
        <f t="shared" si="16"/>
        <v>2.6812406576980568</v>
      </c>
      <c r="AD23" s="49">
        <f t="shared" si="16"/>
        <v>4.1848523748395374</v>
      </c>
      <c r="AE23" s="49">
        <f t="shared" si="16"/>
        <v>8.1628352490421463</v>
      </c>
      <c r="AF23" s="49">
        <f t="shared" si="16"/>
        <v>2.7891290111329403</v>
      </c>
      <c r="AG23" s="49">
        <f>AG21/AG22</f>
        <v>-2.2520342000468503</v>
      </c>
      <c r="AH23" s="54">
        <f>AVERAGE(AE23:AG23)</f>
        <v>2.8999766867094121</v>
      </c>
      <c r="AJ23" s="203" t="s">
        <v>322</v>
      </c>
      <c r="AK23" s="209">
        <f>AK21/AK22</f>
        <v>8.1628352490421463</v>
      </c>
      <c r="AL23" s="206">
        <f>AL21/AL22</f>
        <v>2.7891290111329403</v>
      </c>
      <c r="AM23" s="206">
        <f>AM21/AM22</f>
        <v>-2.2520496603420006</v>
      </c>
      <c r="AN23" s="206">
        <f>AVERAGE(AK23:AM23)</f>
        <v>2.8999715332776952</v>
      </c>
      <c r="AO23" s="178"/>
    </row>
    <row r="24" spans="1:41">
      <c r="A24" t="s">
        <v>323</v>
      </c>
      <c r="B24">
        <v>15437</v>
      </c>
      <c r="C24">
        <v>17518</v>
      </c>
      <c r="D24">
        <v>13487</v>
      </c>
      <c r="E24">
        <v>17021</v>
      </c>
      <c r="F24">
        <v>18287</v>
      </c>
      <c r="G24">
        <v>24404</v>
      </c>
      <c r="P24" s="46" t="s">
        <v>312</v>
      </c>
      <c r="Q24" s="1">
        <f>Q21/Q22</f>
        <v>4.9686834904226211</v>
      </c>
      <c r="R24" s="1">
        <f t="shared" ref="R24:V24" si="17">R21/R22</f>
        <v>4.8091905453585104</v>
      </c>
      <c r="S24" s="1">
        <f>S21/S22</f>
        <v>3.1060083283759665</v>
      </c>
      <c r="T24" s="1">
        <f t="shared" si="17"/>
        <v>3.6247001147387086</v>
      </c>
      <c r="U24" s="1">
        <f t="shared" si="17"/>
        <v>3.4745174775415815</v>
      </c>
      <c r="V24" s="1">
        <f t="shared" si="17"/>
        <v>3.5319297754773729</v>
      </c>
      <c r="W24" s="1">
        <f>W21/W22</f>
        <v>3.2878768068274042</v>
      </c>
      <c r="X24" s="85"/>
      <c r="AB24" s="1"/>
    </row>
    <row r="25" spans="1:41" ht="15" thickBot="1">
      <c r="A25" t="s">
        <v>324</v>
      </c>
      <c r="B25">
        <v>4009</v>
      </c>
      <c r="C25">
        <v>4701</v>
      </c>
      <c r="D25">
        <v>4267</v>
      </c>
      <c r="E25">
        <v>4621</v>
      </c>
      <c r="F25">
        <v>5866</v>
      </c>
      <c r="G25">
        <v>6710</v>
      </c>
      <c r="P25" s="48" t="s">
        <v>325</v>
      </c>
      <c r="Q25" s="52">
        <f>Q23/Q24</f>
        <v>73.460102802594534</v>
      </c>
      <c r="R25" s="52">
        <f t="shared" ref="R25:V25" si="18">R23/R24</f>
        <v>75.896348160351451</v>
      </c>
      <c r="S25" s="52">
        <f>S23/S24</f>
        <v>117.51417298705279</v>
      </c>
      <c r="T25" s="52">
        <f t="shared" si="18"/>
        <v>100.69798561151079</v>
      </c>
      <c r="U25" s="52">
        <f t="shared" si="18"/>
        <v>105.05055805857054</v>
      </c>
      <c r="V25" s="52">
        <f t="shared" si="18"/>
        <v>103.34293805449937</v>
      </c>
      <c r="W25" s="23">
        <f>W23/W24</f>
        <v>111.01389177418791</v>
      </c>
      <c r="X25" s="272">
        <f>AVERAGE(S25:W25)</f>
        <v>107.52390929716428</v>
      </c>
      <c r="AB25" s="1"/>
    </row>
    <row r="26" spans="1:41">
      <c r="A26" s="11" t="s">
        <v>326</v>
      </c>
      <c r="B26" s="1">
        <f t="shared" ref="B26:G26" si="19">B24/B25</f>
        <v>3.8505861810925417</v>
      </c>
      <c r="C26" s="1">
        <f t="shared" si="19"/>
        <v>3.7264411827270791</v>
      </c>
      <c r="D26" s="1">
        <f t="shared" si="19"/>
        <v>3.1607686899460981</v>
      </c>
      <c r="E26" s="1">
        <f t="shared" si="19"/>
        <v>3.6834018610690329</v>
      </c>
      <c r="F26" s="1">
        <f t="shared" si="19"/>
        <v>3.1174565291510401</v>
      </c>
      <c r="G26" s="1">
        <f t="shared" si="19"/>
        <v>3.6369597615499254</v>
      </c>
      <c r="Z26" s="47" t="s">
        <v>327</v>
      </c>
      <c r="AC26" s="2"/>
    </row>
    <row r="27" spans="1:41" ht="15" thickBot="1">
      <c r="P27" s="53" t="s">
        <v>328</v>
      </c>
      <c r="Q27" s="50">
        <f>Q10+Q16-Q25</f>
        <v>36.979224477326511</v>
      </c>
      <c r="R27" s="50">
        <f t="shared" ref="R27:V27" si="20">R10+R16-R25</f>
        <v>34.316566107215934</v>
      </c>
      <c r="S27" s="50">
        <f t="shared" si="20"/>
        <v>8.8013302092458332</v>
      </c>
      <c r="T27" s="50">
        <f t="shared" si="20"/>
        <v>7.8944405466301788</v>
      </c>
      <c r="U27" s="50">
        <f t="shared" si="20"/>
        <v>22.678903995903298</v>
      </c>
      <c r="V27" s="50">
        <f t="shared" si="20"/>
        <v>47.988060714444401</v>
      </c>
      <c r="W27" s="50">
        <f>W10+W16-W25</f>
        <v>16.182375546067377</v>
      </c>
      <c r="X27" s="99">
        <f>AVERAGE(Q27:W27)</f>
        <v>24.977271656690505</v>
      </c>
      <c r="Z27" s="51"/>
    </row>
    <row r="29" spans="1:41" ht="18">
      <c r="B29">
        <v>2016</v>
      </c>
      <c r="C29">
        <v>2017</v>
      </c>
      <c r="D29">
        <v>2018</v>
      </c>
      <c r="E29">
        <v>2019</v>
      </c>
      <c r="F29">
        <v>2020</v>
      </c>
      <c r="G29">
        <v>2021</v>
      </c>
      <c r="R29" s="587" t="s">
        <v>329</v>
      </c>
      <c r="S29" s="587"/>
      <c r="AD29" s="18"/>
    </row>
    <row r="30" spans="1:41">
      <c r="A30" t="s">
        <v>286</v>
      </c>
      <c r="B30">
        <v>3289</v>
      </c>
      <c r="C30">
        <v>4284</v>
      </c>
      <c r="D30">
        <v>4121</v>
      </c>
      <c r="E30">
        <v>5466</v>
      </c>
      <c r="F30">
        <v>5777</v>
      </c>
      <c r="G30">
        <v>8520</v>
      </c>
      <c r="P30" s="130"/>
      <c r="Q30" s="130">
        <v>2016</v>
      </c>
      <c r="R30" s="130">
        <v>2017</v>
      </c>
      <c r="S30" s="130">
        <v>2018</v>
      </c>
      <c r="T30" s="130">
        <v>2019</v>
      </c>
      <c r="U30" s="130">
        <v>2020</v>
      </c>
      <c r="V30" s="130">
        <v>2021</v>
      </c>
      <c r="W30" s="130">
        <v>2022</v>
      </c>
    </row>
    <row r="31" spans="1:41">
      <c r="A31" t="s">
        <v>55</v>
      </c>
      <c r="P31" s="25" t="s">
        <v>330</v>
      </c>
      <c r="Q31" s="59">
        <f t="shared" ref="Q31:W31" si="21">Q10</f>
        <v>94.790762453844664</v>
      </c>
      <c r="R31" s="59">
        <f t="shared" si="21"/>
        <v>97.948681356319213</v>
      </c>
      <c r="S31" s="59">
        <f t="shared" si="21"/>
        <v>115.47823830355156</v>
      </c>
      <c r="T31" s="59">
        <f t="shared" si="21"/>
        <v>99.093179014158977</v>
      </c>
      <c r="U31" s="59">
        <f t="shared" si="21"/>
        <v>117.08262700278887</v>
      </c>
      <c r="V31" s="59">
        <f t="shared" si="21"/>
        <v>100.35854777905261</v>
      </c>
      <c r="W31" s="59">
        <f t="shared" si="21"/>
        <v>73.280120948248452</v>
      </c>
      <c r="X31" s="465"/>
    </row>
    <row r="32" spans="1:41">
      <c r="A32" t="s">
        <v>304</v>
      </c>
      <c r="B32">
        <v>365</v>
      </c>
      <c r="C32">
        <v>365</v>
      </c>
      <c r="D32">
        <v>365</v>
      </c>
      <c r="E32">
        <v>365</v>
      </c>
      <c r="F32">
        <v>365</v>
      </c>
      <c r="G32">
        <v>365</v>
      </c>
      <c r="P32" s="25" t="s">
        <v>313</v>
      </c>
      <c r="Q32" s="59">
        <f t="shared" ref="Q32:W32" si="22">Q16</f>
        <v>15.648564826076381</v>
      </c>
      <c r="R32" s="59">
        <f t="shared" si="22"/>
        <v>12.264232911248167</v>
      </c>
      <c r="S32" s="59">
        <f t="shared" si="22"/>
        <v>10.83726489274706</v>
      </c>
      <c r="T32" s="59">
        <f t="shared" si="22"/>
        <v>9.4992471439819877</v>
      </c>
      <c r="U32" s="59">
        <f t="shared" si="22"/>
        <v>10.64683505168497</v>
      </c>
      <c r="V32" s="59">
        <f t="shared" si="22"/>
        <v>50.972450989891165</v>
      </c>
      <c r="W32" s="59">
        <f t="shared" si="22"/>
        <v>53.916146372006835</v>
      </c>
    </row>
    <row r="33" spans="16:33">
      <c r="P33" s="25" t="s">
        <v>331</v>
      </c>
      <c r="Q33" s="42">
        <f t="shared" ref="Q33:W33" si="23">Q25</f>
        <v>73.460102802594534</v>
      </c>
      <c r="R33" s="42">
        <f t="shared" si="23"/>
        <v>75.896348160351451</v>
      </c>
      <c r="S33" s="42">
        <f t="shared" si="23"/>
        <v>117.51417298705279</v>
      </c>
      <c r="T33" s="42">
        <f t="shared" si="23"/>
        <v>100.69798561151079</v>
      </c>
      <c r="U33" s="42">
        <f t="shared" si="23"/>
        <v>105.05055805857054</v>
      </c>
      <c r="V33" s="42">
        <f t="shared" si="23"/>
        <v>103.34293805449937</v>
      </c>
      <c r="W33" s="42">
        <f t="shared" si="23"/>
        <v>111.01389177418791</v>
      </c>
      <c r="AG33" s="22"/>
    </row>
    <row r="34" spans="16:33">
      <c r="P34" s="131" t="s">
        <v>328</v>
      </c>
      <c r="Q34" s="139">
        <f t="shared" ref="Q34:W34" si="24">Q27</f>
        <v>36.979224477326511</v>
      </c>
      <c r="R34" s="139">
        <f t="shared" si="24"/>
        <v>34.316566107215934</v>
      </c>
      <c r="S34" s="139">
        <f t="shared" si="24"/>
        <v>8.8013302092458332</v>
      </c>
      <c r="T34" s="139">
        <f t="shared" si="24"/>
        <v>7.8944405466301788</v>
      </c>
      <c r="U34" s="139">
        <f t="shared" si="24"/>
        <v>22.678903995903298</v>
      </c>
      <c r="V34" s="139">
        <f t="shared" si="24"/>
        <v>47.988060714444401</v>
      </c>
      <c r="W34" s="139">
        <f t="shared" si="24"/>
        <v>16.182375546067377</v>
      </c>
      <c r="AE34" s="22"/>
      <c r="AF34" s="22"/>
      <c r="AG34" s="22"/>
    </row>
    <row r="35" spans="16:33" ht="15" thickBot="1">
      <c r="AE35" s="49"/>
      <c r="AF35" s="49"/>
      <c r="AG35" s="49"/>
    </row>
  </sheetData>
  <mergeCells count="4">
    <mergeCell ref="A4:G4"/>
    <mergeCell ref="Q5:S5"/>
    <mergeCell ref="AK5:AM5"/>
    <mergeCell ref="R29:S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67E4-D392-4294-B02A-6B7838FE32BA}">
  <sheetPr codeName="Ark10"/>
  <dimension ref="B3:AF84"/>
  <sheetViews>
    <sheetView topLeftCell="AY35" workbookViewId="0">
      <selection activeCell="S70" sqref="S70"/>
    </sheetView>
  </sheetViews>
  <sheetFormatPr defaultColWidth="11.44140625" defaultRowHeight="14.4"/>
  <cols>
    <col min="2" max="2" width="18.33203125" bestFit="1" customWidth="1"/>
    <col min="3" max="3" width="12.44140625" bestFit="1" customWidth="1"/>
    <col min="4" max="4" width="12.77734375" bestFit="1" customWidth="1"/>
    <col min="5" max="5" width="12.33203125" bestFit="1" customWidth="1"/>
    <col min="8" max="8" width="14.44140625" bestFit="1" customWidth="1"/>
    <col min="9" max="9" width="11.33203125" bestFit="1" customWidth="1"/>
    <col min="10" max="10" width="20.6640625" bestFit="1" customWidth="1"/>
    <col min="11" max="11" width="14" bestFit="1" customWidth="1"/>
    <col min="12" max="17" width="10.77734375" bestFit="1" customWidth="1"/>
    <col min="18" max="18" width="11.33203125" bestFit="1" customWidth="1"/>
    <col min="22" max="22" width="14.44140625" bestFit="1" customWidth="1"/>
    <col min="29" max="29" width="13.6640625" customWidth="1"/>
    <col min="31" max="31" width="13" bestFit="1" customWidth="1"/>
  </cols>
  <sheetData>
    <row r="3" spans="2:10">
      <c r="B3" s="70" t="s">
        <v>418</v>
      </c>
      <c r="C3" s="70">
        <v>2016</v>
      </c>
      <c r="D3" s="70">
        <v>2017</v>
      </c>
      <c r="E3" s="70">
        <v>2018</v>
      </c>
      <c r="F3" s="70">
        <v>2019</v>
      </c>
      <c r="G3" s="70">
        <v>2020</v>
      </c>
      <c r="H3" s="70">
        <v>2021</v>
      </c>
      <c r="I3" s="70">
        <v>2022</v>
      </c>
      <c r="J3" s="195" t="s">
        <v>7</v>
      </c>
    </row>
    <row r="4" spans="2:10">
      <c r="B4" s="3" t="s">
        <v>220</v>
      </c>
      <c r="C4" s="3">
        <v>65528</v>
      </c>
      <c r="D4" s="3">
        <v>69625</v>
      </c>
      <c r="E4" s="3">
        <v>63393</v>
      </c>
      <c r="F4" s="3">
        <v>72213</v>
      </c>
      <c r="G4" s="3">
        <v>74004</v>
      </c>
      <c r="H4" s="3">
        <v>92311</v>
      </c>
      <c r="I4" s="3">
        <v>126596</v>
      </c>
      <c r="J4" s="22">
        <f>AVERAGE(C4:I4)</f>
        <v>80524.28571428571</v>
      </c>
    </row>
    <row r="5" spans="2:10">
      <c r="B5" s="3" t="s">
        <v>419</v>
      </c>
      <c r="C5" s="90">
        <f>(C4-64446)/C4</f>
        <v>1.651202539372482E-2</v>
      </c>
      <c r="D5" s="90">
        <f>(D4-C4)/D4</f>
        <v>5.8843806104129266E-2</v>
      </c>
      <c r="E5" s="90">
        <f>(E4-D4)/E4</f>
        <v>-9.8307384096035844E-2</v>
      </c>
      <c r="F5" s="90">
        <f t="shared" ref="F5:H5" si="0">(F4-E4)/F4</f>
        <v>0.12213867309210252</v>
      </c>
      <c r="G5" s="90">
        <f t="shared" si="0"/>
        <v>2.4201394519215179E-2</v>
      </c>
      <c r="H5" s="90">
        <f t="shared" si="0"/>
        <v>0.19831872691228564</v>
      </c>
      <c r="I5" s="90">
        <f>(I4-H4)/I4</f>
        <v>0.27082214287971185</v>
      </c>
      <c r="J5" s="196">
        <f>AVERAGE(C5:I5)</f>
        <v>8.464705497216192E-2</v>
      </c>
    </row>
    <row r="6" spans="2:10">
      <c r="B6" s="3"/>
      <c r="C6" s="3"/>
      <c r="D6" s="3"/>
      <c r="E6" s="3"/>
      <c r="F6" s="3"/>
      <c r="G6" s="3"/>
      <c r="H6" s="3"/>
      <c r="I6" s="3"/>
    </row>
    <row r="7" spans="2:10">
      <c r="B7" s="3"/>
      <c r="C7" s="3">
        <v>2016</v>
      </c>
      <c r="D7" s="3">
        <v>2017</v>
      </c>
      <c r="E7" s="3">
        <v>2018</v>
      </c>
      <c r="F7" s="3">
        <v>2019</v>
      </c>
      <c r="G7" s="3">
        <v>2020</v>
      </c>
      <c r="H7" s="3">
        <v>2021</v>
      </c>
      <c r="I7" s="3">
        <v>2022</v>
      </c>
      <c r="J7">
        <f>(G5+H5+I5)/3</f>
        <v>0.16444742143707089</v>
      </c>
    </row>
    <row r="8" spans="2:10">
      <c r="B8" s="3" t="s">
        <v>220</v>
      </c>
      <c r="C8" s="3">
        <f>'Reformulering '!C5+'Reformulering '!C7</f>
        <v>65776</v>
      </c>
      <c r="D8" s="3">
        <f>'Reformulering '!D5+'Reformulering '!D7</f>
        <v>70207</v>
      </c>
      <c r="E8" s="3">
        <f>'Reformulering '!E5+'Reformulering '!E7</f>
        <v>63588</v>
      </c>
      <c r="F8" s="3">
        <f>'Reformulering '!F5+'Reformulering '!F7</f>
        <v>72391</v>
      </c>
      <c r="G8" s="3">
        <f>'Reformulering '!G5+'Reformulering '!G7</f>
        <v>74393</v>
      </c>
      <c r="H8" s="3">
        <f>'Reformulering '!H5+'Reformulering '!H7</f>
        <v>92889</v>
      </c>
      <c r="I8" s="3">
        <f>'Reformulering '!I5+'Reformulering '!I7</f>
        <v>129126.02900000001</v>
      </c>
    </row>
    <row r="9" spans="2:10">
      <c r="B9" s="3" t="s">
        <v>50</v>
      </c>
      <c r="C9" s="3">
        <v>15437</v>
      </c>
      <c r="D9" s="3">
        <v>17518</v>
      </c>
      <c r="E9" s="3">
        <v>13487</v>
      </c>
      <c r="F9" s="3">
        <v>17021</v>
      </c>
      <c r="G9" s="3">
        <v>18287</v>
      </c>
      <c r="H9" s="3">
        <v>24404</v>
      </c>
      <c r="I9" s="3">
        <v>31817</v>
      </c>
      <c r="J9">
        <f>(E5+F5+G5+H5+I5)/5</f>
        <v>0.10343471066145586</v>
      </c>
    </row>
    <row r="10" spans="2:10">
      <c r="B10" s="3" t="s">
        <v>420</v>
      </c>
      <c r="C10" s="90">
        <f>'Reformulering '!C10</f>
        <v>0.76530953539284841</v>
      </c>
      <c r="D10" s="90">
        <f>'Reformulering '!D10</f>
        <v>0.75048072129559729</v>
      </c>
      <c r="E10" s="90">
        <f>'Reformulering '!E10</f>
        <v>0.78790023274831733</v>
      </c>
      <c r="F10" s="90">
        <f>'Reformulering '!F10</f>
        <v>0.76487408655772127</v>
      </c>
      <c r="G10" s="90">
        <f>'Reformulering '!G10</f>
        <v>0.75418386138480775</v>
      </c>
      <c r="H10" s="90">
        <f>'Reformulering '!H10</f>
        <v>0.73727782622269589</v>
      </c>
      <c r="I10" s="90">
        <f>'Reformulering '!I10</f>
        <v>0.75359030052724696</v>
      </c>
      <c r="J10" s="239">
        <f>SQRT(J11)</f>
        <v>1.5844953235109552E-2</v>
      </c>
    </row>
    <row r="11" spans="2:10">
      <c r="B11" s="3"/>
      <c r="C11" s="3"/>
      <c r="D11" s="3"/>
      <c r="E11" s="3"/>
      <c r="F11" s="3"/>
      <c r="G11" s="3"/>
      <c r="H11" s="3"/>
      <c r="I11" s="3"/>
      <c r="J11" s="60">
        <f>_xlfn.VAR.S(C10:I10)</f>
        <v>2.5106254302280866E-4</v>
      </c>
    </row>
    <row r="12" spans="2:10">
      <c r="B12" s="3"/>
      <c r="C12" s="3">
        <v>2016</v>
      </c>
      <c r="D12" s="3">
        <v>2017</v>
      </c>
      <c r="E12" s="3">
        <v>2018</v>
      </c>
      <c r="F12" s="3">
        <v>2019</v>
      </c>
      <c r="G12" s="3">
        <v>2020</v>
      </c>
      <c r="H12" s="3">
        <v>2021</v>
      </c>
      <c r="I12" s="3">
        <v>2022</v>
      </c>
    </row>
    <row r="13" spans="2:10">
      <c r="B13" s="3" t="s">
        <v>162</v>
      </c>
      <c r="C13" s="62">
        <f t="shared" ref="C13:I13" si="1">C9-C11-C12</f>
        <v>13421</v>
      </c>
      <c r="D13" s="62">
        <f t="shared" si="1"/>
        <v>15501</v>
      </c>
      <c r="E13" s="62">
        <f t="shared" si="1"/>
        <v>11469</v>
      </c>
      <c r="F13" s="62">
        <f t="shared" si="1"/>
        <v>15002</v>
      </c>
      <c r="G13" s="62">
        <f t="shared" si="1"/>
        <v>16267</v>
      </c>
      <c r="H13" s="62">
        <f t="shared" si="1"/>
        <v>22383</v>
      </c>
      <c r="I13" s="22">
        <f t="shared" si="1"/>
        <v>29795</v>
      </c>
    </row>
    <row r="14" spans="2:10">
      <c r="B14" s="3" t="s">
        <v>188</v>
      </c>
      <c r="C14" s="3">
        <f t="shared" ref="C14:I14" si="2">C4</f>
        <v>65528</v>
      </c>
      <c r="D14" s="3">
        <f t="shared" si="2"/>
        <v>69625</v>
      </c>
      <c r="E14" s="3">
        <f t="shared" si="2"/>
        <v>63393</v>
      </c>
      <c r="F14" s="3">
        <f t="shared" si="2"/>
        <v>72213</v>
      </c>
      <c r="G14" s="3">
        <f t="shared" si="2"/>
        <v>74004</v>
      </c>
      <c r="H14" s="3">
        <f t="shared" si="2"/>
        <v>92311</v>
      </c>
      <c r="I14" s="3">
        <f t="shared" si="2"/>
        <v>126596</v>
      </c>
    </row>
    <row r="15" spans="2:10" ht="15" thickBot="1">
      <c r="B15" s="63" t="s">
        <v>421</v>
      </c>
      <c r="C15" s="89">
        <f t="shared" ref="C15:I15" si="3">C13/C14</f>
        <v>0.20481320962031499</v>
      </c>
      <c r="D15" s="89">
        <f t="shared" si="3"/>
        <v>0.22263554757630161</v>
      </c>
      <c r="E15" s="89">
        <f t="shared" si="3"/>
        <v>0.18091902891486442</v>
      </c>
      <c r="F15" s="89">
        <f t="shared" si="3"/>
        <v>0.20774652763352858</v>
      </c>
      <c r="G15" s="89">
        <f t="shared" si="3"/>
        <v>0.21981244257067187</v>
      </c>
      <c r="H15" s="89">
        <f t="shared" si="3"/>
        <v>0.24247381135509311</v>
      </c>
      <c r="I15" s="89">
        <f t="shared" si="3"/>
        <v>0.23535498751935291</v>
      </c>
    </row>
    <row r="18" spans="2:18">
      <c r="B18" s="70" t="s">
        <v>418</v>
      </c>
      <c r="C18" s="70">
        <v>2016</v>
      </c>
      <c r="D18" s="70">
        <v>2017</v>
      </c>
      <c r="E18" s="70">
        <v>2018</v>
      </c>
      <c r="F18" s="70">
        <v>2019</v>
      </c>
      <c r="G18" s="70">
        <v>2020</v>
      </c>
      <c r="H18" s="70">
        <v>2021</v>
      </c>
      <c r="I18" s="70">
        <v>2022</v>
      </c>
      <c r="J18" t="s">
        <v>422</v>
      </c>
    </row>
    <row r="19" spans="2:18">
      <c r="B19" s="3" t="s">
        <v>423</v>
      </c>
      <c r="C19" s="26">
        <f t="shared" ref="C19:I19" si="4">C5</f>
        <v>1.651202539372482E-2</v>
      </c>
      <c r="D19" s="26">
        <f t="shared" si="4"/>
        <v>5.8843806104129266E-2</v>
      </c>
      <c r="E19" s="26">
        <f t="shared" si="4"/>
        <v>-9.8307384096035844E-2</v>
      </c>
      <c r="F19" s="26">
        <f t="shared" si="4"/>
        <v>0.12213867309210252</v>
      </c>
      <c r="G19" s="26">
        <f t="shared" si="4"/>
        <v>2.4201394519215179E-2</v>
      </c>
      <c r="H19" s="26">
        <f t="shared" si="4"/>
        <v>0.19831872691228564</v>
      </c>
      <c r="I19" s="26">
        <f t="shared" si="4"/>
        <v>0.27082214287971185</v>
      </c>
      <c r="J19" s="60">
        <f>AVERAGE(C19:I19)</f>
        <v>8.464705497216192E-2</v>
      </c>
    </row>
    <row r="20" spans="2:18">
      <c r="B20" s="3" t="s">
        <v>424</v>
      </c>
      <c r="C20" s="26">
        <f>C10</f>
        <v>0.76530953539284841</v>
      </c>
      <c r="D20" s="26">
        <f t="shared" ref="D20:I20" si="5">D10</f>
        <v>0.75048072129559729</v>
      </c>
      <c r="E20" s="26">
        <f t="shared" si="5"/>
        <v>0.78790023274831733</v>
      </c>
      <c r="F20" s="26">
        <f t="shared" si="5"/>
        <v>0.76487408655772127</v>
      </c>
      <c r="G20" s="26">
        <f t="shared" si="5"/>
        <v>0.75418386138480775</v>
      </c>
      <c r="H20" s="26">
        <f t="shared" si="5"/>
        <v>0.73727782622269589</v>
      </c>
      <c r="I20" s="26">
        <f t="shared" si="5"/>
        <v>0.75359030052724696</v>
      </c>
      <c r="J20" s="60">
        <f>AVERAGE(C20:I20)</f>
        <v>0.75908808058989063</v>
      </c>
    </row>
    <row r="21" spans="2:18">
      <c r="B21" s="3" t="s">
        <v>421</v>
      </c>
      <c r="C21" s="91">
        <f t="shared" ref="C21:I21" si="6">C15</f>
        <v>0.20481320962031499</v>
      </c>
      <c r="D21" s="91">
        <f t="shared" si="6"/>
        <v>0.22263554757630161</v>
      </c>
      <c r="E21" s="91">
        <f t="shared" si="6"/>
        <v>0.18091902891486442</v>
      </c>
      <c r="F21" s="91">
        <f t="shared" si="6"/>
        <v>0.20774652763352858</v>
      </c>
      <c r="G21" s="91">
        <f t="shared" si="6"/>
        <v>0.21981244257067187</v>
      </c>
      <c r="H21" s="91">
        <f t="shared" si="6"/>
        <v>0.24247381135509311</v>
      </c>
      <c r="I21" s="91">
        <f t="shared" si="6"/>
        <v>0.23535498751935291</v>
      </c>
      <c r="J21" s="65">
        <f>AVERAGE(C21:I21)</f>
        <v>0.21625079359858962</v>
      </c>
    </row>
    <row r="23" spans="2:18">
      <c r="B23" s="70" t="s">
        <v>336</v>
      </c>
      <c r="C23" s="70">
        <v>2016</v>
      </c>
      <c r="D23" s="70">
        <v>2017</v>
      </c>
      <c r="E23" s="70">
        <v>2018</v>
      </c>
      <c r="F23" s="70">
        <v>2019</v>
      </c>
      <c r="G23" s="70">
        <v>2020</v>
      </c>
      <c r="H23" s="70">
        <v>2021</v>
      </c>
      <c r="I23" t="s">
        <v>7</v>
      </c>
      <c r="K23" s="70" t="s">
        <v>344</v>
      </c>
      <c r="L23" s="70">
        <v>2016</v>
      </c>
      <c r="M23" s="70">
        <v>2017</v>
      </c>
      <c r="N23" s="70">
        <v>2018</v>
      </c>
      <c r="O23" s="70">
        <v>2019</v>
      </c>
      <c r="P23" s="70">
        <v>2020</v>
      </c>
      <c r="Q23" s="70">
        <v>2021</v>
      </c>
      <c r="R23" t="s">
        <v>7</v>
      </c>
    </row>
    <row r="24" spans="2:18">
      <c r="B24" s="3" t="s">
        <v>220</v>
      </c>
      <c r="C24" s="3">
        <v>49477</v>
      </c>
      <c r="D24" s="3">
        <v>48988</v>
      </c>
      <c r="E24" s="3">
        <v>56947</v>
      </c>
      <c r="F24" s="3">
        <v>61985</v>
      </c>
      <c r="G24" s="3">
        <v>71768</v>
      </c>
      <c r="H24" s="3">
        <v>90282</v>
      </c>
      <c r="K24" s="3" t="s">
        <v>220</v>
      </c>
      <c r="L24" s="3">
        <v>31378</v>
      </c>
      <c r="M24" s="3">
        <v>35300</v>
      </c>
      <c r="N24" s="3">
        <v>34765</v>
      </c>
      <c r="O24" s="3">
        <v>54268</v>
      </c>
      <c r="P24" s="3">
        <v>70187</v>
      </c>
      <c r="Q24" s="3">
        <v>80867</v>
      </c>
    </row>
    <row r="25" spans="2:18">
      <c r="B25" s="3" t="s">
        <v>423</v>
      </c>
      <c r="C25" s="90">
        <f>(C24-42595)/C24</f>
        <v>0.13909493299917133</v>
      </c>
      <c r="D25" s="90">
        <f>(D24-C24)/D24</f>
        <v>-9.9820364170817352E-3</v>
      </c>
      <c r="E25" s="90">
        <f>(E24-D24)/E24</f>
        <v>0.13976153265316874</v>
      </c>
      <c r="F25" s="90">
        <f>(F24-E24)/F24</f>
        <v>8.1277728482697431E-2</v>
      </c>
      <c r="G25" s="90">
        <f>(G24-F24)/G24</f>
        <v>0.13631423475643742</v>
      </c>
      <c r="H25" s="90">
        <f>(H24-G24)/H24</f>
        <v>0.20506856294720985</v>
      </c>
      <c r="I25" s="60">
        <f>AVERAGE(C25:H25)</f>
        <v>0.11525582590360051</v>
      </c>
      <c r="K25" s="3" t="s">
        <v>423</v>
      </c>
      <c r="L25" s="90">
        <f>(L24-31053)/L24</f>
        <v>1.0357575371279241E-2</v>
      </c>
      <c r="M25" s="90">
        <f>(M24-L24)/M24</f>
        <v>0.11110481586402267</v>
      </c>
      <c r="N25" s="90">
        <f>(N24-M24)/N24</f>
        <v>-1.5389040701855315E-2</v>
      </c>
      <c r="O25" s="90">
        <f>(O24-N24)/O24</f>
        <v>0.35938306184123242</v>
      </c>
      <c r="P25" s="90">
        <f>(P24-O24)/P24</f>
        <v>0.22680838331884823</v>
      </c>
      <c r="Q25" s="90">
        <f>(Q24-P24)/Q24</f>
        <v>0.13206870540517146</v>
      </c>
      <c r="R25" s="60">
        <f>AVERAGE(L25:Q25)</f>
        <v>0.13738891684978313</v>
      </c>
    </row>
    <row r="26" spans="2:18"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/>
      <c r="Q26" s="3"/>
    </row>
    <row r="27" spans="2:18">
      <c r="B27" s="3" t="s">
        <v>220</v>
      </c>
      <c r="C27" s="3">
        <f>C24</f>
        <v>49477</v>
      </c>
      <c r="D27" s="3">
        <f t="shared" ref="D27:H27" si="7">D24</f>
        <v>48988</v>
      </c>
      <c r="E27" s="3">
        <f t="shared" si="7"/>
        <v>56947</v>
      </c>
      <c r="F27" s="3">
        <f t="shared" si="7"/>
        <v>61985</v>
      </c>
      <c r="G27" s="3">
        <f t="shared" si="7"/>
        <v>71768</v>
      </c>
      <c r="H27" s="3">
        <f t="shared" si="7"/>
        <v>90282</v>
      </c>
      <c r="K27" s="3" t="s">
        <v>220</v>
      </c>
      <c r="L27" s="3">
        <f t="shared" ref="L27:Q27" si="8">L24</f>
        <v>31378</v>
      </c>
      <c r="M27" s="3">
        <f t="shared" si="8"/>
        <v>35300</v>
      </c>
      <c r="N27" s="3">
        <f t="shared" si="8"/>
        <v>34765</v>
      </c>
      <c r="O27" s="3">
        <f t="shared" si="8"/>
        <v>54268</v>
      </c>
      <c r="P27" s="3">
        <f t="shared" si="8"/>
        <v>70187</v>
      </c>
      <c r="Q27" s="3">
        <f t="shared" si="8"/>
        <v>80867</v>
      </c>
    </row>
    <row r="28" spans="2:18">
      <c r="B28" s="3" t="s">
        <v>50</v>
      </c>
      <c r="C28" s="3">
        <v>17243</v>
      </c>
      <c r="D28" s="3">
        <v>15972</v>
      </c>
      <c r="E28" s="3">
        <v>17424</v>
      </c>
      <c r="F28" s="3">
        <v>19296</v>
      </c>
      <c r="G28" s="3">
        <v>23149</v>
      </c>
      <c r="H28" s="3">
        <v>19296</v>
      </c>
      <c r="K28" s="3" t="s">
        <v>50</v>
      </c>
      <c r="L28" s="3">
        <v>7158</v>
      </c>
      <c r="M28" s="3">
        <v>8401</v>
      </c>
      <c r="N28" s="3">
        <v>7005</v>
      </c>
      <c r="O28" s="3">
        <v>10869</v>
      </c>
      <c r="P28" s="3">
        <v>13060</v>
      </c>
      <c r="Q28" s="3">
        <v>12353</v>
      </c>
    </row>
    <row r="29" spans="2:18">
      <c r="B29" s="3" t="s">
        <v>420</v>
      </c>
      <c r="C29" s="90">
        <f t="shared" ref="C29:H29" si="9">(C27-C28)/C27</f>
        <v>0.65149463387028317</v>
      </c>
      <c r="D29" s="90">
        <f t="shared" si="9"/>
        <v>0.67396097003347755</v>
      </c>
      <c r="E29" s="90">
        <f t="shared" si="9"/>
        <v>0.69403129225420124</v>
      </c>
      <c r="F29" s="90">
        <f t="shared" si="9"/>
        <v>0.68869887876099056</v>
      </c>
      <c r="G29" s="90">
        <f t="shared" si="9"/>
        <v>0.67744677293501276</v>
      </c>
      <c r="H29" s="90">
        <f t="shared" si="9"/>
        <v>0.78626968830996213</v>
      </c>
      <c r="I29" s="60">
        <f>AVERAGE(C29:H29)</f>
        <v>0.69531703936065448</v>
      </c>
      <c r="K29" s="3" t="s">
        <v>420</v>
      </c>
      <c r="L29" s="90">
        <f t="shared" ref="L29:Q29" si="10">(L27-L28)/L27</f>
        <v>0.77187838613040982</v>
      </c>
      <c r="M29" s="90">
        <f t="shared" si="10"/>
        <v>0.76201133144475919</v>
      </c>
      <c r="N29" s="90">
        <f t="shared" si="10"/>
        <v>0.79850424277290377</v>
      </c>
      <c r="O29" s="90">
        <f t="shared" si="10"/>
        <v>0.79971622318861946</v>
      </c>
      <c r="P29" s="90">
        <f t="shared" si="10"/>
        <v>0.81392565574821552</v>
      </c>
      <c r="Q29" s="90">
        <f t="shared" si="10"/>
        <v>0.84724300394474883</v>
      </c>
      <c r="R29" s="60">
        <f>AVERAGE(L29:Q29)</f>
        <v>0.79887980720494278</v>
      </c>
    </row>
    <row r="30" spans="2:18"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/>
      <c r="Q30" s="3"/>
    </row>
    <row r="31" spans="2:18">
      <c r="B31" s="3" t="s">
        <v>162</v>
      </c>
      <c r="C31" s="3">
        <f>'Nøkkeltall konkurrenter'!H71</f>
        <v>5768</v>
      </c>
      <c r="D31" s="3">
        <f>'Nøkkeltall konkurrenter'!I71</f>
        <v>4222</v>
      </c>
      <c r="E31" s="3">
        <f>'Nøkkeltall konkurrenter'!J71</f>
        <v>7208</v>
      </c>
      <c r="F31" s="3">
        <f>'Nøkkeltall konkurrenter'!K71</f>
        <v>9729</v>
      </c>
      <c r="G31" s="3">
        <f>'Nøkkeltall konkurrenter'!L71</f>
        <v>10806</v>
      </c>
      <c r="H31" s="3">
        <f>'Nøkkeltall konkurrenter'!M71</f>
        <v>19766</v>
      </c>
      <c r="K31" s="3" t="s">
        <v>162</v>
      </c>
      <c r="L31" s="3">
        <f>'Nøkkeltall konkurrenter'!H90</f>
        <v>4410</v>
      </c>
      <c r="M31" s="3">
        <f>'Nøkkeltall konkurrenter'!I90</f>
        <v>5804</v>
      </c>
      <c r="N31" s="3">
        <f>'Nøkkeltall konkurrenter'!J90</f>
        <v>5102</v>
      </c>
      <c r="O31" s="3">
        <f>'Nøkkeltall konkurrenter'!K90</f>
        <v>6647</v>
      </c>
      <c r="P31" s="3">
        <f>'Nøkkeltall konkurrenter'!L90</f>
        <v>12824</v>
      </c>
      <c r="Q31" s="3">
        <f>'Nøkkeltall konkurrenter'!M90</f>
        <v>9376</v>
      </c>
    </row>
    <row r="32" spans="2:18">
      <c r="B32" s="3" t="s">
        <v>220</v>
      </c>
      <c r="C32" s="3">
        <f t="shared" ref="C32:H32" si="11">C24</f>
        <v>49477</v>
      </c>
      <c r="D32" s="3">
        <f t="shared" si="11"/>
        <v>48988</v>
      </c>
      <c r="E32" s="3">
        <f t="shared" si="11"/>
        <v>56947</v>
      </c>
      <c r="F32" s="3">
        <f t="shared" si="11"/>
        <v>61985</v>
      </c>
      <c r="G32" s="3">
        <f t="shared" si="11"/>
        <v>71768</v>
      </c>
      <c r="H32" s="3">
        <f t="shared" si="11"/>
        <v>90282</v>
      </c>
      <c r="K32" s="3" t="s">
        <v>220</v>
      </c>
      <c r="L32" s="3">
        <f t="shared" ref="L32:Q32" si="12">L24</f>
        <v>31378</v>
      </c>
      <c r="M32" s="3">
        <f t="shared" si="12"/>
        <v>35300</v>
      </c>
      <c r="N32" s="3">
        <f t="shared" si="12"/>
        <v>34765</v>
      </c>
      <c r="O32" s="3">
        <f t="shared" si="12"/>
        <v>54268</v>
      </c>
      <c r="P32" s="3">
        <f t="shared" si="12"/>
        <v>70187</v>
      </c>
      <c r="Q32" s="3">
        <f t="shared" si="12"/>
        <v>80867</v>
      </c>
    </row>
    <row r="33" spans="2:18">
      <c r="B33" s="3" t="s">
        <v>421</v>
      </c>
      <c r="C33" s="93">
        <f t="shared" ref="C33:H33" si="13">C31/C32</f>
        <v>0.11657942074095035</v>
      </c>
      <c r="D33" s="93">
        <f t="shared" si="13"/>
        <v>8.6184371682861111E-2</v>
      </c>
      <c r="E33" s="93">
        <f t="shared" si="13"/>
        <v>0.12657383180852372</v>
      </c>
      <c r="F33" s="93">
        <f t="shared" si="13"/>
        <v>0.15695732838589982</v>
      </c>
      <c r="G33" s="93">
        <f t="shared" si="13"/>
        <v>0.15056849849515105</v>
      </c>
      <c r="H33" s="93">
        <f t="shared" si="13"/>
        <v>0.21893622205976829</v>
      </c>
      <c r="I33" s="60">
        <f>AVERAGE(C33:H33)</f>
        <v>0.14263327886219238</v>
      </c>
      <c r="K33" s="3" t="s">
        <v>421</v>
      </c>
      <c r="L33" s="90">
        <f t="shared" ref="L33:Q33" si="14">L31/L32</f>
        <v>0.14054433042258907</v>
      </c>
      <c r="M33" s="90">
        <f t="shared" si="14"/>
        <v>0.16441926345609065</v>
      </c>
      <c r="N33" s="90">
        <f t="shared" si="14"/>
        <v>0.14675679562778657</v>
      </c>
      <c r="O33" s="90">
        <f t="shared" si="14"/>
        <v>0.12248470553549053</v>
      </c>
      <c r="P33" s="90">
        <f t="shared" si="14"/>
        <v>0.18271189821476913</v>
      </c>
      <c r="Q33" s="90">
        <f t="shared" si="14"/>
        <v>0.11594346272274228</v>
      </c>
      <c r="R33" s="60">
        <f>AVERAGE(L33:Q33)</f>
        <v>0.1454767426632447</v>
      </c>
    </row>
    <row r="34" spans="2:18">
      <c r="C34" s="11"/>
      <c r="D34" s="11"/>
      <c r="E34" s="11"/>
      <c r="F34" s="11"/>
      <c r="G34" s="11"/>
      <c r="H34" s="11"/>
    </row>
    <row r="36" spans="2:18">
      <c r="B36" s="70" t="s">
        <v>374</v>
      </c>
      <c r="C36" s="70">
        <v>2016</v>
      </c>
      <c r="D36" s="70">
        <v>2017</v>
      </c>
      <c r="E36" s="70">
        <v>2018</v>
      </c>
      <c r="F36" s="70">
        <v>2019</v>
      </c>
      <c r="G36" s="70">
        <v>2020</v>
      </c>
      <c r="H36" s="70">
        <v>2021</v>
      </c>
      <c r="K36" s="70" t="s">
        <v>425</v>
      </c>
      <c r="L36" s="70">
        <v>2016</v>
      </c>
      <c r="M36" s="70">
        <v>2017</v>
      </c>
      <c r="N36" s="70">
        <v>2018</v>
      </c>
      <c r="O36" s="70">
        <v>2019</v>
      </c>
      <c r="P36" s="70">
        <v>2020</v>
      </c>
      <c r="Q36" s="70">
        <v>2021</v>
      </c>
    </row>
    <row r="37" spans="2:18">
      <c r="B37" s="3" t="s">
        <v>220</v>
      </c>
      <c r="C37" s="3">
        <v>14834</v>
      </c>
      <c r="D37" s="3">
        <v>25864</v>
      </c>
      <c r="E37" s="3">
        <v>27593</v>
      </c>
      <c r="F37" s="3">
        <v>38257</v>
      </c>
      <c r="G37" s="3">
        <v>51247</v>
      </c>
      <c r="H37" s="3">
        <v>56240</v>
      </c>
      <c r="K37" s="3" t="s">
        <v>220</v>
      </c>
      <c r="L37" s="3">
        <v>22200</v>
      </c>
      <c r="M37" s="3">
        <v>19379</v>
      </c>
      <c r="N37" s="3">
        <v>24681</v>
      </c>
      <c r="O37" s="3">
        <v>24688</v>
      </c>
      <c r="P37" s="3">
        <v>29128</v>
      </c>
      <c r="Q37" s="3">
        <v>34215</v>
      </c>
    </row>
    <row r="38" spans="2:18">
      <c r="B38" s="3" t="s">
        <v>423</v>
      </c>
      <c r="C38" s="90">
        <f>(C37-14619)/C37</f>
        <v>1.449373061884859E-2</v>
      </c>
      <c r="D38" s="90">
        <f>(D37-C37)/D37</f>
        <v>0.42646149087534796</v>
      </c>
      <c r="E38" s="90">
        <f>(E37-D37)/E37</f>
        <v>6.2660819773130871E-2</v>
      </c>
      <c r="F38" s="90">
        <f>(F37-E37)/F37</f>
        <v>0.27874637321274537</v>
      </c>
      <c r="G38" s="90">
        <f>(G37-F37)/G37</f>
        <v>0.25347825238550548</v>
      </c>
      <c r="H38" s="90">
        <f>(H37-G37)/H37</f>
        <v>8.8780227596017072E-2</v>
      </c>
      <c r="I38" s="60">
        <f>AVERAGE(C38:H38)</f>
        <v>0.18743681574359919</v>
      </c>
      <c r="K38" s="3" t="s">
        <v>423</v>
      </c>
      <c r="L38" s="90">
        <f>(L37-20345)/L37</f>
        <v>8.3558558558558552E-2</v>
      </c>
      <c r="M38" s="90">
        <f>(M37-L37)/M37</f>
        <v>-0.14556994684968264</v>
      </c>
      <c r="N38" s="90">
        <f>(N37-M37)/N37</f>
        <v>0.21482111745877397</v>
      </c>
      <c r="O38" s="90">
        <f>(O37-N37)/O37</f>
        <v>2.8353856124432923E-4</v>
      </c>
      <c r="P38" s="90">
        <f>(P37-O37)/P37</f>
        <v>0.1524306509200769</v>
      </c>
      <c r="Q38" s="90">
        <f>(Q37-P37)/Q37</f>
        <v>0.14867748063714745</v>
      </c>
      <c r="R38" s="60">
        <f>AVERAGE(L38:Q38)</f>
        <v>7.5700233214353096E-2</v>
      </c>
    </row>
    <row r="39" spans="2:18">
      <c r="B39" s="3"/>
      <c r="C39" s="3"/>
      <c r="D39" s="3"/>
      <c r="E39" s="3"/>
      <c r="F39" s="3"/>
      <c r="G39" s="3"/>
      <c r="H39" s="3"/>
      <c r="K39" s="3"/>
      <c r="L39" s="3"/>
      <c r="M39" s="3"/>
      <c r="N39" s="3"/>
      <c r="O39" s="3"/>
      <c r="P39" s="3"/>
      <c r="Q39" s="3"/>
    </row>
    <row r="40" spans="2:18">
      <c r="B40" s="3" t="s">
        <v>220</v>
      </c>
      <c r="C40" s="3">
        <f t="shared" ref="C40:H40" si="15">C37</f>
        <v>14834</v>
      </c>
      <c r="D40" s="3">
        <f t="shared" si="15"/>
        <v>25864</v>
      </c>
      <c r="E40" s="3">
        <f t="shared" si="15"/>
        <v>27593</v>
      </c>
      <c r="F40" s="3">
        <f t="shared" si="15"/>
        <v>38257</v>
      </c>
      <c r="G40" s="3">
        <f t="shared" si="15"/>
        <v>51247</v>
      </c>
      <c r="H40" s="3">
        <f t="shared" si="15"/>
        <v>56240</v>
      </c>
      <c r="K40" s="3" t="s">
        <v>220</v>
      </c>
      <c r="L40" s="3">
        <f t="shared" ref="L40:Q40" si="16">L37</f>
        <v>22200</v>
      </c>
      <c r="M40" s="3">
        <f t="shared" si="16"/>
        <v>19379</v>
      </c>
      <c r="N40" s="3">
        <f t="shared" si="16"/>
        <v>24681</v>
      </c>
      <c r="O40" s="3">
        <f t="shared" si="16"/>
        <v>24688</v>
      </c>
      <c r="P40" s="3">
        <f t="shared" si="16"/>
        <v>29128</v>
      </c>
      <c r="Q40" s="3">
        <f t="shared" si="16"/>
        <v>34215</v>
      </c>
    </row>
    <row r="41" spans="2:18">
      <c r="B41" s="3" t="s">
        <v>50</v>
      </c>
      <c r="C41" s="3">
        <v>3614</v>
      </c>
      <c r="D41" s="3">
        <v>4678</v>
      </c>
      <c r="E41" s="3">
        <v>5080</v>
      </c>
      <c r="F41" s="3">
        <v>7140</v>
      </c>
      <c r="G41" s="3">
        <v>7521</v>
      </c>
      <c r="H41" s="3">
        <v>10456</v>
      </c>
      <c r="K41" s="3" t="s">
        <v>426</v>
      </c>
      <c r="L41" s="3">
        <v>5803</v>
      </c>
      <c r="M41" s="3">
        <v>5812</v>
      </c>
      <c r="N41" s="3">
        <v>6677</v>
      </c>
      <c r="O41" s="3">
        <v>6949</v>
      </c>
      <c r="P41" s="3">
        <v>5647</v>
      </c>
      <c r="Q41" s="3">
        <v>6982</v>
      </c>
    </row>
    <row r="42" spans="2:18">
      <c r="B42" s="3" t="s">
        <v>420</v>
      </c>
      <c r="C42" s="90">
        <f t="shared" ref="C42:H42" si="17">(C40-C41)/C40</f>
        <v>0.75637050020223806</v>
      </c>
      <c r="D42" s="90">
        <f t="shared" si="17"/>
        <v>0.8191308382307454</v>
      </c>
      <c r="E42" s="90">
        <f t="shared" si="17"/>
        <v>0.81589533577356577</v>
      </c>
      <c r="F42" s="90">
        <f t="shared" si="17"/>
        <v>0.81336748830279426</v>
      </c>
      <c r="G42" s="90">
        <f t="shared" si="17"/>
        <v>0.85324018966963922</v>
      </c>
      <c r="H42" s="90">
        <f t="shared" si="17"/>
        <v>0.81408250355618772</v>
      </c>
      <c r="I42" s="60">
        <f>AVERAGE(C42:H42)</f>
        <v>0.81201447595586174</v>
      </c>
      <c r="K42" s="3" t="s">
        <v>420</v>
      </c>
      <c r="L42" s="90">
        <f t="shared" ref="L42:Q42" si="18">(L40-L41)/L40</f>
        <v>0.73860360360360355</v>
      </c>
      <c r="M42" s="90">
        <f t="shared" si="18"/>
        <v>0.70008772382475881</v>
      </c>
      <c r="N42" s="90">
        <f t="shared" si="18"/>
        <v>0.7294680118309631</v>
      </c>
      <c r="O42" s="90">
        <f t="shared" si="18"/>
        <v>0.71852721970187949</v>
      </c>
      <c r="P42" s="90">
        <f t="shared" si="18"/>
        <v>0.80613155726448782</v>
      </c>
      <c r="Q42" s="90">
        <f t="shared" si="18"/>
        <v>0.79593745433289498</v>
      </c>
      <c r="R42" s="60">
        <f>AVERAGE(L42:Q42)</f>
        <v>0.74812592842643133</v>
      </c>
    </row>
    <row r="43" spans="2:18">
      <c r="B43" s="3"/>
      <c r="C43" s="3"/>
      <c r="D43" s="3"/>
      <c r="E43" s="3"/>
      <c r="F43" s="3"/>
      <c r="G43" s="3"/>
      <c r="H43" s="3"/>
      <c r="K43" s="3"/>
      <c r="L43" s="3"/>
      <c r="M43" s="3"/>
      <c r="N43" s="3"/>
      <c r="O43" s="3"/>
      <c r="P43" s="3"/>
      <c r="Q43" s="3"/>
    </row>
    <row r="44" spans="2:18">
      <c r="B44" s="3" t="s">
        <v>162</v>
      </c>
      <c r="C44" s="3">
        <f>'Nøkkeltall konkurrenter'!H81</f>
        <v>1786</v>
      </c>
      <c r="D44" s="3">
        <f>'Nøkkeltall konkurrenter'!I81</f>
        <v>5064</v>
      </c>
      <c r="E44" s="3">
        <f>'Nøkkeltall konkurrenter'!J81</f>
        <v>2955</v>
      </c>
      <c r="F44" s="3">
        <f>'Nøkkeltall konkurrenter'!K81</f>
        <v>8895</v>
      </c>
      <c r="G44" s="3">
        <f>'Nøkkeltall konkurrenter'!L81</f>
        <v>14414</v>
      </c>
      <c r="H44" s="3">
        <f>'Nøkkeltall konkurrenter'!M81</f>
        <v>5192</v>
      </c>
      <c r="K44" s="3" t="s">
        <v>162</v>
      </c>
      <c r="L44" s="3">
        <f>'Nøkkeltall konkurrenter'!H99</f>
        <v>3426</v>
      </c>
      <c r="M44" s="3">
        <f>'Nøkkeltall konkurrenter'!I99</f>
        <v>1120</v>
      </c>
      <c r="N44" s="3">
        <f>'Nøkkeltall konkurrenter'!J99</f>
        <v>4117</v>
      </c>
      <c r="O44" s="3">
        <f>'Nøkkeltall konkurrenter'!K99</f>
        <v>4274</v>
      </c>
      <c r="P44" s="3">
        <f>'Nøkkeltall konkurrenter'!L99</f>
        <v>5897</v>
      </c>
      <c r="Q44" s="3">
        <f>'Nøkkeltall konkurrenter'!M99</f>
        <v>6520</v>
      </c>
    </row>
    <row r="45" spans="2:18">
      <c r="B45" s="3" t="s">
        <v>220</v>
      </c>
      <c r="C45" s="3">
        <f t="shared" ref="C45:H45" si="19">C37</f>
        <v>14834</v>
      </c>
      <c r="D45" s="3">
        <f t="shared" si="19"/>
        <v>25864</v>
      </c>
      <c r="E45" s="3">
        <f t="shared" si="19"/>
        <v>27593</v>
      </c>
      <c r="F45" s="3">
        <f t="shared" si="19"/>
        <v>38257</v>
      </c>
      <c r="G45" s="3">
        <f t="shared" si="19"/>
        <v>51247</v>
      </c>
      <c r="H45" s="3">
        <f t="shared" si="19"/>
        <v>56240</v>
      </c>
      <c r="K45" s="3" t="s">
        <v>220</v>
      </c>
      <c r="L45" s="3">
        <f t="shared" ref="L45:Q45" si="20">L37</f>
        <v>22200</v>
      </c>
      <c r="M45" s="3">
        <f t="shared" si="20"/>
        <v>19379</v>
      </c>
      <c r="N45" s="3">
        <f t="shared" si="20"/>
        <v>24681</v>
      </c>
      <c r="O45" s="3">
        <f t="shared" si="20"/>
        <v>24688</v>
      </c>
      <c r="P45" s="3">
        <f t="shared" si="20"/>
        <v>29128</v>
      </c>
      <c r="Q45" s="3">
        <f t="shared" si="20"/>
        <v>34215</v>
      </c>
    </row>
    <row r="46" spans="2:18">
      <c r="B46" s="3" t="s">
        <v>421</v>
      </c>
      <c r="C46" s="90">
        <f t="shared" ref="C46:H46" si="21">C44/C45</f>
        <v>0.12039908318727248</v>
      </c>
      <c r="D46" s="90">
        <f t="shared" si="21"/>
        <v>0.19579338076090319</v>
      </c>
      <c r="E46" s="90">
        <f t="shared" si="21"/>
        <v>0.10709237850179393</v>
      </c>
      <c r="F46" s="90">
        <f t="shared" si="21"/>
        <v>0.23250646940429204</v>
      </c>
      <c r="G46" s="90">
        <f t="shared" si="21"/>
        <v>0.28126524479481724</v>
      </c>
      <c r="H46" s="90">
        <f t="shared" si="21"/>
        <v>9.231863442389758E-2</v>
      </c>
      <c r="I46" s="60">
        <f>AVERAGE(C46:H46)</f>
        <v>0.17156253184549608</v>
      </c>
      <c r="K46" s="3" t="s">
        <v>421</v>
      </c>
      <c r="L46" s="90">
        <f t="shared" ref="L46:Q46" si="22">L44/L45</f>
        <v>0.15432432432432433</v>
      </c>
      <c r="M46" s="90">
        <f t="shared" si="22"/>
        <v>5.7794519841065067E-2</v>
      </c>
      <c r="N46" s="90">
        <f t="shared" si="22"/>
        <v>0.16680847615574734</v>
      </c>
      <c r="O46" s="90">
        <f t="shared" si="22"/>
        <v>0.1731205443940376</v>
      </c>
      <c r="P46" s="90">
        <f t="shared" si="22"/>
        <v>0.20245124965668773</v>
      </c>
      <c r="Q46" s="90">
        <f t="shared" si="22"/>
        <v>0.19055969603974865</v>
      </c>
      <c r="R46" s="60">
        <f>AVERAGE(L46:Q46)</f>
        <v>0.15750980173526843</v>
      </c>
    </row>
    <row r="49" spans="2:32">
      <c r="B49" s="70" t="s">
        <v>427</v>
      </c>
      <c r="C49" s="70">
        <v>2016</v>
      </c>
      <c r="D49" s="70">
        <v>2017</v>
      </c>
      <c r="E49" s="70">
        <v>2018</v>
      </c>
      <c r="F49" s="70">
        <v>2019</v>
      </c>
      <c r="G49" s="70">
        <v>2020</v>
      </c>
      <c r="H49" s="70">
        <v>2021</v>
      </c>
      <c r="K49" s="70" t="s">
        <v>388</v>
      </c>
      <c r="L49" s="70">
        <v>2016</v>
      </c>
      <c r="M49" s="70">
        <v>2017</v>
      </c>
      <c r="N49" s="70">
        <v>2018</v>
      </c>
      <c r="O49" s="70">
        <v>2019</v>
      </c>
      <c r="P49" s="70">
        <v>2020</v>
      </c>
      <c r="Q49" s="70">
        <v>2021</v>
      </c>
    </row>
    <row r="50" spans="2:32">
      <c r="B50" s="3" t="s">
        <v>220</v>
      </c>
      <c r="C50" s="3">
        <v>18480</v>
      </c>
      <c r="D50" s="3">
        <v>21373</v>
      </c>
      <c r="E50" s="3">
        <v>23643</v>
      </c>
      <c r="F50" s="3">
        <v>45629</v>
      </c>
      <c r="G50" s="3">
        <v>50582</v>
      </c>
      <c r="H50" s="3">
        <v>69446</v>
      </c>
      <c r="K50" s="3" t="s">
        <v>220</v>
      </c>
      <c r="L50" s="3">
        <v>37864</v>
      </c>
      <c r="M50" s="3">
        <v>50141</v>
      </c>
      <c r="N50" s="3">
        <v>45600</v>
      </c>
      <c r="O50" s="3">
        <v>37834</v>
      </c>
      <c r="P50" s="3">
        <v>57546</v>
      </c>
      <c r="Q50" s="3">
        <v>49867</v>
      </c>
    </row>
    <row r="51" spans="2:32">
      <c r="B51" s="3" t="s">
        <v>423</v>
      </c>
      <c r="C51" s="90">
        <f>(C50-21012)/C50</f>
        <v>-0.137012987012987</v>
      </c>
      <c r="D51" s="90">
        <f>(D50-C50)/D50</f>
        <v>0.13535769428718478</v>
      </c>
      <c r="E51" s="90">
        <f>(E50-D50)/E50</f>
        <v>9.6011504462208686E-2</v>
      </c>
      <c r="F51" s="90">
        <f>(F50-E50)/F50</f>
        <v>0.4818426877643604</v>
      </c>
      <c r="G51" s="90">
        <f>(G50-F50)/G50</f>
        <v>9.7920208769918152E-2</v>
      </c>
      <c r="H51" s="90">
        <f>(H50-G50)/H50</f>
        <v>0.27163551536445585</v>
      </c>
      <c r="I51" s="60">
        <f>AVERAGE(C51:H51)</f>
        <v>0.15762577060585681</v>
      </c>
      <c r="K51" s="3" t="s">
        <v>423</v>
      </c>
      <c r="L51" s="90">
        <f>(L50-52082)/L50</f>
        <v>-0.37550179590111982</v>
      </c>
      <c r="M51" s="90">
        <f>(M50-L50)/M50</f>
        <v>0.24484952434135737</v>
      </c>
      <c r="N51" s="90">
        <f>(N50-M50)/N50</f>
        <v>-9.9583333333333329E-2</v>
      </c>
      <c r="O51" s="90">
        <f>(O50-N50)/O50</f>
        <v>-0.20526510546069673</v>
      </c>
      <c r="P51" s="90">
        <f>(P50-O50)/P50</f>
        <v>0.34254335661905261</v>
      </c>
      <c r="Q51" s="90">
        <f>(Q50-P50)/Q50</f>
        <v>-0.15398961236890127</v>
      </c>
      <c r="R51" s="60">
        <f>AVERAGE(L51:Q51)</f>
        <v>-4.1157827683940197E-2</v>
      </c>
    </row>
    <row r="52" spans="2:32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</row>
    <row r="53" spans="2:32">
      <c r="B53" s="3" t="s">
        <v>220</v>
      </c>
      <c r="C53" s="3">
        <f t="shared" ref="C53:H53" si="23">C50</f>
        <v>18480</v>
      </c>
      <c r="D53" s="3">
        <f t="shared" si="23"/>
        <v>21373</v>
      </c>
      <c r="E53" s="3">
        <f t="shared" si="23"/>
        <v>23643</v>
      </c>
      <c r="F53" s="3">
        <f t="shared" si="23"/>
        <v>45629</v>
      </c>
      <c r="G53" s="3">
        <f t="shared" si="23"/>
        <v>50582</v>
      </c>
      <c r="H53" s="3">
        <f t="shared" si="23"/>
        <v>69446</v>
      </c>
      <c r="K53" s="3" t="s">
        <v>220</v>
      </c>
      <c r="L53" s="3">
        <f t="shared" ref="L53:Q53" si="24">L50</f>
        <v>37864</v>
      </c>
      <c r="M53" s="3">
        <f t="shared" si="24"/>
        <v>50141</v>
      </c>
      <c r="N53" s="3">
        <f t="shared" si="24"/>
        <v>45600</v>
      </c>
      <c r="O53" s="3">
        <f t="shared" si="24"/>
        <v>37834</v>
      </c>
      <c r="P53" s="3">
        <f t="shared" si="24"/>
        <v>57546</v>
      </c>
      <c r="Q53" s="3">
        <f t="shared" si="24"/>
        <v>49867</v>
      </c>
    </row>
    <row r="54" spans="2:32">
      <c r="B54" s="3" t="s">
        <v>50</v>
      </c>
      <c r="C54" s="3">
        <v>6619</v>
      </c>
      <c r="D54" s="3">
        <v>8504</v>
      </c>
      <c r="E54" s="3">
        <v>9245</v>
      </c>
      <c r="F54" s="3">
        <v>19852</v>
      </c>
      <c r="G54" s="3">
        <v>16273</v>
      </c>
      <c r="H54" s="3">
        <v>27192</v>
      </c>
      <c r="K54" s="3" t="s">
        <v>50</v>
      </c>
      <c r="L54" s="3">
        <v>22202</v>
      </c>
      <c r="M54" s="3">
        <v>20027</v>
      </c>
      <c r="N54" s="3">
        <v>20102</v>
      </c>
      <c r="O54" s="3">
        <v>18362</v>
      </c>
      <c r="P54" s="3">
        <v>20096</v>
      </c>
      <c r="Q54" s="3">
        <v>25335</v>
      </c>
    </row>
    <row r="55" spans="2:32">
      <c r="B55" s="3" t="s">
        <v>420</v>
      </c>
      <c r="C55" s="90">
        <f t="shared" ref="C55:H55" si="25">(C53-C54)/C53</f>
        <v>0.64182900432900436</v>
      </c>
      <c r="D55" s="90">
        <f t="shared" si="25"/>
        <v>0.60211481776072617</v>
      </c>
      <c r="E55" s="90">
        <f t="shared" si="25"/>
        <v>0.60897517235545406</v>
      </c>
      <c r="F55" s="90">
        <f t="shared" si="25"/>
        <v>0.56492581472309278</v>
      </c>
      <c r="G55" s="90">
        <f t="shared" si="25"/>
        <v>0.67828476533154092</v>
      </c>
      <c r="H55" s="90">
        <f t="shared" si="25"/>
        <v>0.60844397085505286</v>
      </c>
      <c r="I55" s="60">
        <f>AVERAGE(C55:H55)</f>
        <v>0.61742892422581186</v>
      </c>
      <c r="K55" s="3" t="s">
        <v>420</v>
      </c>
      <c r="L55" s="90">
        <f t="shared" ref="L55:Q55" si="26">(L53-L54)/L53</f>
        <v>0.41363828438622441</v>
      </c>
      <c r="M55" s="90">
        <f t="shared" si="26"/>
        <v>0.60058634650286191</v>
      </c>
      <c r="N55" s="90">
        <f t="shared" si="26"/>
        <v>0.5591666666666667</v>
      </c>
      <c r="O55" s="90">
        <f t="shared" si="26"/>
        <v>0.51466934503356765</v>
      </c>
      <c r="P55" s="90">
        <f t="shared" si="26"/>
        <v>0.65078372084940739</v>
      </c>
      <c r="Q55" s="90">
        <f t="shared" si="26"/>
        <v>0.49194858323139551</v>
      </c>
      <c r="R55" s="60">
        <f>AVERAGE(L55:Q55)</f>
        <v>0.53846549111168718</v>
      </c>
    </row>
    <row r="56" spans="2:32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</row>
    <row r="57" spans="2:32">
      <c r="B57" s="3" t="s">
        <v>162</v>
      </c>
      <c r="C57" s="3">
        <f>'Nøkkeltall konkurrenter'!V13</f>
        <v>4459</v>
      </c>
      <c r="D57" s="3">
        <f>'Nøkkeltall konkurrenter'!W13</f>
        <v>3892</v>
      </c>
      <c r="E57" s="3">
        <f>'Nøkkeltall konkurrenter'!X13</f>
        <v>3395</v>
      </c>
      <c r="F57" s="3">
        <f>'Nøkkeltall konkurrenter'!Y13</f>
        <v>8178</v>
      </c>
      <c r="G57" s="3">
        <f>'Nøkkeltall konkurrenter'!Z13</f>
        <v>11147</v>
      </c>
      <c r="H57" s="3">
        <f>'Nøkkeltall konkurrenter'!M117</f>
        <v>13827</v>
      </c>
      <c r="K57" s="3" t="s">
        <v>162</v>
      </c>
      <c r="L57" s="3">
        <f>'Nøkkeltall konkurrenter'!H108</f>
        <v>12104</v>
      </c>
      <c r="M57" s="3">
        <f>'Nøkkeltall konkurrenter'!I108</f>
        <v>6425</v>
      </c>
      <c r="N57" s="3">
        <f>'Nøkkeltall konkurrenter'!J108</f>
        <v>2592</v>
      </c>
      <c r="O57" s="3">
        <f>'Nøkkeltall konkurrenter'!K108</f>
        <v>-3311</v>
      </c>
      <c r="P57" s="3">
        <f>'Nøkkeltall konkurrenter'!L108</f>
        <v>17005</v>
      </c>
      <c r="Q57" s="3">
        <f>'Nøkkeltall konkurrenter'!M108</f>
        <v>1048</v>
      </c>
    </row>
    <row r="58" spans="2:32">
      <c r="B58" s="3" t="s">
        <v>220</v>
      </c>
      <c r="C58">
        <f t="shared" ref="C58:H58" si="27">C50</f>
        <v>18480</v>
      </c>
      <c r="D58">
        <f t="shared" si="27"/>
        <v>21373</v>
      </c>
      <c r="E58">
        <f t="shared" si="27"/>
        <v>23643</v>
      </c>
      <c r="F58">
        <f t="shared" si="27"/>
        <v>45629</v>
      </c>
      <c r="G58">
        <f t="shared" si="27"/>
        <v>50582</v>
      </c>
      <c r="H58" s="3">
        <f t="shared" si="27"/>
        <v>69446</v>
      </c>
      <c r="K58" s="3" t="s">
        <v>220</v>
      </c>
      <c r="L58" s="3">
        <f t="shared" ref="L58:Q58" si="28">L50</f>
        <v>37864</v>
      </c>
      <c r="M58" s="3">
        <f t="shared" si="28"/>
        <v>50141</v>
      </c>
      <c r="N58" s="3">
        <f t="shared" si="28"/>
        <v>45600</v>
      </c>
      <c r="O58" s="3">
        <f t="shared" si="28"/>
        <v>37834</v>
      </c>
      <c r="P58" s="3">
        <f t="shared" si="28"/>
        <v>57546</v>
      </c>
      <c r="Q58" s="3">
        <f t="shared" si="28"/>
        <v>49867</v>
      </c>
    </row>
    <row r="59" spans="2:32">
      <c r="B59" s="3" t="s">
        <v>421</v>
      </c>
      <c r="C59" s="90">
        <f t="shared" ref="C59:H59" si="29">C57/C58</f>
        <v>0.2412878787878788</v>
      </c>
      <c r="D59" s="90">
        <f t="shared" si="29"/>
        <v>0.18209890983951715</v>
      </c>
      <c r="E59" s="90">
        <f t="shared" si="29"/>
        <v>0.14359429852387598</v>
      </c>
      <c r="F59" s="90">
        <f t="shared" si="29"/>
        <v>0.17922812246597558</v>
      </c>
      <c r="G59" s="90">
        <f t="shared" si="29"/>
        <v>0.22037483689850143</v>
      </c>
      <c r="H59" s="90">
        <f t="shared" si="29"/>
        <v>0.1991043400627826</v>
      </c>
      <c r="I59" s="60">
        <f>AVERAGE(C59:H59)</f>
        <v>0.19428139776308859</v>
      </c>
      <c r="K59" s="3" t="s">
        <v>428</v>
      </c>
      <c r="L59" s="90">
        <f t="shared" ref="L59:Q59" si="30">L57/L58</f>
        <v>0.31967039932389607</v>
      </c>
      <c r="M59" s="90">
        <f t="shared" si="30"/>
        <v>0.12813864900979238</v>
      </c>
      <c r="N59" s="90">
        <f t="shared" si="30"/>
        <v>5.6842105263157895E-2</v>
      </c>
      <c r="O59" s="90">
        <f t="shared" si="30"/>
        <v>-8.7513876407464192E-2</v>
      </c>
      <c r="P59" s="90">
        <f t="shared" si="30"/>
        <v>0.29550272825218088</v>
      </c>
      <c r="Q59" s="90">
        <f t="shared" si="30"/>
        <v>2.1015902300118315E-2</v>
      </c>
      <c r="R59" s="60">
        <f>AVERAGE(L59:Q59)</f>
        <v>0.12227598462361354</v>
      </c>
    </row>
    <row r="64" spans="2:32">
      <c r="C64" t="s">
        <v>423</v>
      </c>
      <c r="D64" t="s">
        <v>424</v>
      </c>
      <c r="E64" t="s">
        <v>421</v>
      </c>
      <c r="H64" t="s">
        <v>96</v>
      </c>
      <c r="J64">
        <v>2016</v>
      </c>
      <c r="V64" s="182" t="s">
        <v>96</v>
      </c>
      <c r="W64" s="182"/>
      <c r="X64" s="153">
        <v>2016</v>
      </c>
      <c r="Y64" s="153">
        <v>2017</v>
      </c>
      <c r="Z64" s="153">
        <v>2018</v>
      </c>
      <c r="AA64" s="153">
        <v>2019</v>
      </c>
      <c r="AB64" s="153">
        <v>2020</v>
      </c>
      <c r="AC64" s="153">
        <v>2021</v>
      </c>
      <c r="AD64" s="153">
        <v>2022</v>
      </c>
      <c r="AE64" s="182" t="s">
        <v>7</v>
      </c>
      <c r="AF64" s="178"/>
    </row>
    <row r="65" spans="2:32">
      <c r="B65" t="s">
        <v>336</v>
      </c>
      <c r="C65" s="60">
        <f>I25</f>
        <v>0.11525582590360051</v>
      </c>
      <c r="D65" s="60">
        <f>I29</f>
        <v>0.69531703936065448</v>
      </c>
      <c r="E65" s="60">
        <f>I33</f>
        <v>0.14263327886219238</v>
      </c>
      <c r="H65" s="570" t="s">
        <v>423</v>
      </c>
      <c r="I65" t="s">
        <v>384</v>
      </c>
      <c r="V65" s="588" t="s">
        <v>423</v>
      </c>
      <c r="W65" s="177" t="s">
        <v>384</v>
      </c>
      <c r="X65" s="176">
        <f>C19</f>
        <v>1.651202539372482E-2</v>
      </c>
      <c r="Y65" s="176">
        <f t="shared" ref="Y65:AD65" si="31">D19</f>
        <v>5.8843806104129266E-2</v>
      </c>
      <c r="Z65" s="176">
        <f t="shared" si="31"/>
        <v>-9.8307384096035844E-2</v>
      </c>
      <c r="AA65" s="176">
        <f t="shared" si="31"/>
        <v>0.12213867309210252</v>
      </c>
      <c r="AB65" s="176">
        <f t="shared" si="31"/>
        <v>2.4201394519215179E-2</v>
      </c>
      <c r="AC65" s="176">
        <f t="shared" si="31"/>
        <v>0.19831872691228564</v>
      </c>
      <c r="AD65" s="176">
        <f t="shared" si="31"/>
        <v>0.27082214287971185</v>
      </c>
      <c r="AE65" s="179">
        <f>AVERAGE(X65:AD65)</f>
        <v>8.464705497216192E-2</v>
      </c>
      <c r="AF65" s="178"/>
    </row>
    <row r="66" spans="2:32">
      <c r="B66" t="s">
        <v>374</v>
      </c>
      <c r="C66" s="60">
        <f>I38</f>
        <v>0.18743681574359919</v>
      </c>
      <c r="D66" s="60">
        <f>I42</f>
        <v>0.81201447595586174</v>
      </c>
      <c r="E66" s="60">
        <f>I46</f>
        <v>0.17156253184549608</v>
      </c>
      <c r="H66" s="570"/>
      <c r="I66" t="s">
        <v>429</v>
      </c>
      <c r="V66" s="589"/>
      <c r="W66" s="181" t="s">
        <v>429</v>
      </c>
      <c r="X66" s="175">
        <f>(C25+C38+C51+L25+L38+L51)/6</f>
        <v>-4.4168330894374851E-2</v>
      </c>
      <c r="Y66" s="175">
        <f>(D25+D38+D51+M25+M38+M51)/6</f>
        <v>0.12703692368352473</v>
      </c>
      <c r="Z66" s="175">
        <f t="shared" ref="Z66:AC66" si="32">(E25+E38+E51+N25+N38+N51)/6</f>
        <v>6.6380433385348936E-2</v>
      </c>
      <c r="AA66" s="175">
        <f t="shared" si="32"/>
        <v>0.16604471406693053</v>
      </c>
      <c r="AB66" s="175">
        <f t="shared" si="32"/>
        <v>0.2015825144616398</v>
      </c>
      <c r="AC66" s="175">
        <f t="shared" si="32"/>
        <v>0.11537347993018342</v>
      </c>
      <c r="AD66" s="175"/>
      <c r="AE66" s="180">
        <f>AVERAGE(X66:AC66)</f>
        <v>0.10537495577220875</v>
      </c>
      <c r="AF66" s="178"/>
    </row>
    <row r="67" spans="2:32">
      <c r="B67" t="s">
        <v>427</v>
      </c>
      <c r="C67" s="60">
        <f>I51</f>
        <v>0.15762577060585681</v>
      </c>
      <c r="D67" s="60">
        <f>I55</f>
        <v>0.61742892422581186</v>
      </c>
      <c r="E67" s="60">
        <f>I59</f>
        <v>0.19428139776308859</v>
      </c>
      <c r="H67" s="570" t="s">
        <v>424</v>
      </c>
      <c r="I67" t="s">
        <v>384</v>
      </c>
      <c r="V67" s="588" t="s">
        <v>424</v>
      </c>
      <c r="W67" s="177" t="s">
        <v>384</v>
      </c>
      <c r="X67" s="176">
        <f>C20</f>
        <v>0.76530953539284841</v>
      </c>
      <c r="Y67" s="176">
        <f t="shared" ref="Y67:AC67" si="33">D20</f>
        <v>0.75048072129559729</v>
      </c>
      <c r="Z67" s="176">
        <f t="shared" si="33"/>
        <v>0.78790023274831733</v>
      </c>
      <c r="AA67" s="176">
        <f t="shared" si="33"/>
        <v>0.76487408655772127</v>
      </c>
      <c r="AB67" s="176">
        <f t="shared" si="33"/>
        <v>0.75418386138480775</v>
      </c>
      <c r="AC67" s="176">
        <f t="shared" si="33"/>
        <v>0.73727782622269589</v>
      </c>
      <c r="AD67" s="176">
        <f>I20</f>
        <v>0.75359030052724696</v>
      </c>
      <c r="AE67" s="179">
        <f t="shared" ref="AE67:AE69" si="34">AVERAGE(X67:AD67)</f>
        <v>0.75908808058989063</v>
      </c>
      <c r="AF67" s="178"/>
    </row>
    <row r="68" spans="2:32">
      <c r="B68" t="s">
        <v>344</v>
      </c>
      <c r="C68" s="60">
        <f>R25</f>
        <v>0.13738891684978313</v>
      </c>
      <c r="D68" s="60">
        <f>R29</f>
        <v>0.79887980720494278</v>
      </c>
      <c r="E68" s="60">
        <f>R33</f>
        <v>0.1454767426632447</v>
      </c>
      <c r="H68" s="570"/>
      <c r="I68" t="s">
        <v>429</v>
      </c>
      <c r="V68" s="589"/>
      <c r="W68" s="181" t="s">
        <v>429</v>
      </c>
      <c r="X68" s="175">
        <f>(C29+C42+C55+L29+L42+L55)/6</f>
        <v>0.66230240208696056</v>
      </c>
      <c r="Y68" s="175">
        <f t="shared" ref="Y68:AC68" si="35">(D29+D42+D55+M29+M42+M55)/6</f>
        <v>0.69298200463288817</v>
      </c>
      <c r="Z68" s="175">
        <f t="shared" si="35"/>
        <v>0.70100678694229257</v>
      </c>
      <c r="AA68" s="175">
        <f t="shared" si="35"/>
        <v>0.68331749495182403</v>
      </c>
      <c r="AB68" s="175">
        <f t="shared" si="35"/>
        <v>0.74663544363305068</v>
      </c>
      <c r="AC68" s="175">
        <f t="shared" si="35"/>
        <v>0.72398753403837368</v>
      </c>
      <c r="AD68" s="175"/>
      <c r="AE68" s="180">
        <f>AVERAGE(X68:AC68)</f>
        <v>0.70170527771423163</v>
      </c>
      <c r="AF68" s="178"/>
    </row>
    <row r="69" spans="2:32">
      <c r="B69" t="s">
        <v>430</v>
      </c>
      <c r="C69" s="60">
        <f>R38</f>
        <v>7.5700233214353096E-2</v>
      </c>
      <c r="D69" s="60">
        <f>R42</f>
        <v>0.74812592842643133</v>
      </c>
      <c r="E69" s="60">
        <f>R46</f>
        <v>0.15750980173526843</v>
      </c>
      <c r="H69" s="570" t="s">
        <v>421</v>
      </c>
      <c r="I69" t="s">
        <v>384</v>
      </c>
      <c r="V69" s="588" t="s">
        <v>421</v>
      </c>
      <c r="W69" s="177" t="s">
        <v>384</v>
      </c>
      <c r="X69" s="176">
        <f>C21</f>
        <v>0.20481320962031499</v>
      </c>
      <c r="Y69" s="176">
        <f t="shared" ref="Y69:AD69" si="36">D21</f>
        <v>0.22263554757630161</v>
      </c>
      <c r="Z69" s="176">
        <f t="shared" si="36"/>
        <v>0.18091902891486442</v>
      </c>
      <c r="AA69" s="176">
        <f t="shared" si="36"/>
        <v>0.20774652763352858</v>
      </c>
      <c r="AB69" s="176">
        <f t="shared" si="36"/>
        <v>0.21981244257067187</v>
      </c>
      <c r="AC69" s="176">
        <f t="shared" si="36"/>
        <v>0.24247381135509311</v>
      </c>
      <c r="AD69" s="176">
        <f t="shared" si="36"/>
        <v>0.23535498751935291</v>
      </c>
      <c r="AE69" s="179">
        <f t="shared" si="34"/>
        <v>0.21625079359858962</v>
      </c>
      <c r="AF69" s="178"/>
    </row>
    <row r="70" spans="2:32">
      <c r="B70" t="s">
        <v>388</v>
      </c>
      <c r="C70" s="60">
        <f>R51</f>
        <v>-4.1157827683940197E-2</v>
      </c>
      <c r="D70" s="60">
        <f>R55</f>
        <v>0.53846549111168718</v>
      </c>
      <c r="E70" s="60">
        <f>R59</f>
        <v>0.12227598462361354</v>
      </c>
      <c r="H70" s="570"/>
      <c r="I70" t="s">
        <v>429</v>
      </c>
      <c r="V70" s="589"/>
      <c r="W70" s="181" t="s">
        <v>429</v>
      </c>
      <c r="X70" s="175">
        <f>(C33+C46+C59+L33+L46+L59)/6</f>
        <v>0.18213423946448518</v>
      </c>
      <c r="Y70" s="175">
        <f t="shared" ref="Y70:AC70" si="37">(D33+D46+D59+M33+M46+M59)/6</f>
        <v>0.13573818243170491</v>
      </c>
      <c r="Z70" s="175">
        <f t="shared" si="37"/>
        <v>0.12461131431348089</v>
      </c>
      <c r="AA70" s="175">
        <f t="shared" si="37"/>
        <v>0.12946388229637187</v>
      </c>
      <c r="AB70" s="175">
        <f t="shared" si="37"/>
        <v>0.22214574271868459</v>
      </c>
      <c r="AC70" s="175">
        <f t="shared" si="37"/>
        <v>0.13964637626817628</v>
      </c>
      <c r="AD70" s="175"/>
      <c r="AE70" s="180">
        <f>AVERAGE(X70:AC70)</f>
        <v>0.15562328958215063</v>
      </c>
      <c r="AF70" s="178"/>
    </row>
    <row r="71" spans="2:32">
      <c r="B71" s="87" t="s">
        <v>357</v>
      </c>
      <c r="C71" s="88">
        <f>AVERAGE(C65:C70)</f>
        <v>0.10537495577220875</v>
      </c>
      <c r="D71" s="88">
        <f>AVERAGE(D65:D70)</f>
        <v>0.70170527771423152</v>
      </c>
      <c r="E71" s="88">
        <f>AVERAGE(E65:E70)</f>
        <v>0.15562328958215063</v>
      </c>
      <c r="V71" s="275"/>
      <c r="W71" s="275"/>
      <c r="X71" s="275"/>
      <c r="Y71" s="275"/>
      <c r="Z71" s="275"/>
      <c r="AA71" s="275"/>
      <c r="AB71" s="275"/>
      <c r="AC71" s="275"/>
      <c r="AD71" s="145"/>
      <c r="AE71" s="145"/>
    </row>
    <row r="72" spans="2:32">
      <c r="V72" s="288"/>
      <c r="W72" s="288">
        <v>2017</v>
      </c>
      <c r="X72" s="291">
        <v>2018</v>
      </c>
      <c r="Y72" s="291">
        <v>2019</v>
      </c>
      <c r="Z72" s="291">
        <v>2020</v>
      </c>
      <c r="AA72" s="291">
        <v>2021</v>
      </c>
      <c r="AB72" s="291">
        <v>2022</v>
      </c>
      <c r="AC72" s="292" t="s">
        <v>7</v>
      </c>
      <c r="AD72" s="17"/>
    </row>
    <row r="73" spans="2:32">
      <c r="V73" s="289" t="s">
        <v>350</v>
      </c>
      <c r="W73" s="277">
        <f>Lønnsomhetsanalyse!D9</f>
        <v>7.3511228717119861E-2</v>
      </c>
      <c r="X73" s="273">
        <f>Lønnsomhetsanalyse!E9</f>
        <v>7.1213076787347923E-2</v>
      </c>
      <c r="Y73" s="273">
        <f>Lønnsomhetsanalyse!F9</f>
        <v>0.10584434359630848</v>
      </c>
      <c r="Z73" s="273">
        <f>Lønnsomhetsanalyse!G9</f>
        <v>0.13157578272072204</v>
      </c>
      <c r="AA73" s="273">
        <f>Lønnsomhetsanalyse!H9</f>
        <v>3.3584776524240606E-2</v>
      </c>
      <c r="AB73" s="273">
        <f>Lønnsomhetsanalyse!I9</f>
        <v>6.3477853379180577E-2</v>
      </c>
      <c r="AC73" s="277">
        <f>AVERAGE(W73:AB73)</f>
        <v>7.9867843620819903E-2</v>
      </c>
      <c r="AD73" s="17"/>
    </row>
    <row r="74" spans="2:32">
      <c r="V74" s="289" t="s">
        <v>92</v>
      </c>
      <c r="W74" s="277">
        <f>'Forecast FCFF'!$C$12</f>
        <v>6.1877606319032649E-2</v>
      </c>
      <c r="X74" s="273">
        <f>'Forecast FCFF'!$C$12</f>
        <v>6.1877606319032649E-2</v>
      </c>
      <c r="Y74" s="273">
        <f>'Forecast FCFF'!$C$12</f>
        <v>6.1877606319032649E-2</v>
      </c>
      <c r="Z74" s="273">
        <f>'Forecast FCFF'!$C$12</f>
        <v>6.1877606319032649E-2</v>
      </c>
      <c r="AA74" s="273">
        <f>'Forecast FCFF'!$C$12</f>
        <v>6.1877606319032649E-2</v>
      </c>
      <c r="AB74" s="273">
        <f>'Forecast FCFF'!$C$12</f>
        <v>6.1877606319032649E-2</v>
      </c>
      <c r="AC74" s="277">
        <f t="shared" ref="AC74" si="38">AVERAGE(W74:AB74)</f>
        <v>6.1877606319032656E-2</v>
      </c>
      <c r="AD74" s="17"/>
    </row>
    <row r="75" spans="2:32">
      <c r="V75" s="290"/>
      <c r="W75" s="281"/>
      <c r="X75" s="282"/>
      <c r="Y75" s="282"/>
      <c r="Z75" s="282"/>
      <c r="AA75" s="282"/>
      <c r="AB75" s="282"/>
      <c r="AC75" s="280">
        <f>AVERAGE(W83:AB83)</f>
        <v>85327.58</v>
      </c>
      <c r="AD75" s="17"/>
    </row>
    <row r="76" spans="2:32">
      <c r="V76" s="316"/>
      <c r="W76" s="60"/>
      <c r="X76" s="60"/>
      <c r="Y76" s="60"/>
      <c r="Z76" s="60"/>
      <c r="AA76" s="60"/>
      <c r="AB76" s="60"/>
      <c r="AC76" s="286">
        <f>AVERAGE(W84:AB84)</f>
        <v>1289.8147985081619</v>
      </c>
      <c r="AD76" s="17"/>
    </row>
    <row r="77" spans="2:32">
      <c r="AC77" s="283" t="e">
        <f>AVERAGE(W75:AB75)</f>
        <v>#DIV/0!</v>
      </c>
      <c r="AD77" s="17"/>
    </row>
    <row r="80" spans="2:32">
      <c r="V80" s="232"/>
      <c r="W80" s="232"/>
      <c r="X80" s="232"/>
      <c r="Y80" s="232"/>
    </row>
    <row r="81" spans="22:28" ht="20.399999999999999">
      <c r="V81" s="293" t="s">
        <v>431</v>
      </c>
      <c r="W81" s="232"/>
      <c r="X81" s="232"/>
      <c r="Y81" s="232"/>
    </row>
    <row r="82" spans="22:28">
      <c r="V82" s="232"/>
      <c r="W82" s="232"/>
      <c r="X82" s="232"/>
      <c r="Y82" s="232"/>
    </row>
    <row r="83" spans="22:28">
      <c r="V83" s="290" t="s">
        <v>48</v>
      </c>
      <c r="W83" s="278">
        <f>'Reformulering '!AI45</f>
        <v>88202.559999999998</v>
      </c>
      <c r="X83" s="276">
        <f>'Reformulering '!AJ45</f>
        <v>81917.5</v>
      </c>
      <c r="Y83" s="276">
        <f>'Reformulering '!AK45</f>
        <v>75182.86</v>
      </c>
      <c r="Z83" s="276">
        <f>'Reformulering '!AL45</f>
        <v>68831.259999999995</v>
      </c>
      <c r="AA83" s="276">
        <f>'Reformulering '!AM45</f>
        <v>82678.080000000002</v>
      </c>
      <c r="AB83" s="285">
        <f>'Reformulering '!AN45</f>
        <v>115153.22</v>
      </c>
    </row>
    <row r="84" spans="22:28">
      <c r="V84" s="289" t="s">
        <v>432</v>
      </c>
      <c r="W84" s="287">
        <f t="shared" ref="W84:AB84" si="39">(W73-W74)*W83</f>
        <v>1026.1152775846313</v>
      </c>
      <c r="X84" s="284">
        <f t="shared" si="39"/>
        <v>764.7384020882165</v>
      </c>
      <c r="Y84" s="284">
        <f t="shared" si="39"/>
        <v>3305.5450533742101</v>
      </c>
      <c r="Z84" s="284">
        <f t="shared" si="39"/>
        <v>4797.4133014305462</v>
      </c>
      <c r="AA84" s="284">
        <f t="shared" si="39"/>
        <v>-2339.1968452002002</v>
      </c>
      <c r="AB84" s="284">
        <f t="shared" si="39"/>
        <v>184.27360177156751</v>
      </c>
    </row>
  </sheetData>
  <mergeCells count="6">
    <mergeCell ref="H65:H66"/>
    <mergeCell ref="H67:H68"/>
    <mergeCell ref="H69:H70"/>
    <mergeCell ref="V65:V66"/>
    <mergeCell ref="V67:V68"/>
    <mergeCell ref="V69:V7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1D64F-FAA8-41A2-BA2A-68B12E5EDF1E}">
  <sheetPr codeName="Ark11"/>
  <dimension ref="A1:AE59"/>
  <sheetViews>
    <sheetView zoomScale="75" workbookViewId="0">
      <selection activeCell="G36" sqref="G36"/>
    </sheetView>
  </sheetViews>
  <sheetFormatPr defaultColWidth="11.44140625" defaultRowHeight="14.4"/>
  <cols>
    <col min="1" max="1" width="25.77734375" bestFit="1" customWidth="1"/>
    <col min="2" max="2" width="16.77734375" bestFit="1" customWidth="1"/>
    <col min="3" max="3" width="15.77734375" bestFit="1" customWidth="1"/>
    <col min="4" max="4" width="19.44140625" customWidth="1"/>
    <col min="5" max="5" width="11.44140625" bestFit="1" customWidth="1"/>
    <col min="6" max="6" width="15" customWidth="1"/>
    <col min="7" max="7" width="18.109375" bestFit="1" customWidth="1"/>
    <col min="8" max="8" width="13.6640625" bestFit="1" customWidth="1"/>
    <col min="9" max="9" width="22.44140625" bestFit="1" customWidth="1"/>
    <col min="11" max="11" width="24.44140625" customWidth="1"/>
    <col min="12" max="12" width="12.77734375" bestFit="1" customWidth="1"/>
    <col min="13" max="13" width="17.44140625" bestFit="1" customWidth="1"/>
    <col min="15" max="15" width="23.33203125" bestFit="1" customWidth="1"/>
    <col min="18" max="18" width="16.33203125" bestFit="1" customWidth="1"/>
    <col min="19" max="19" width="13.109375" bestFit="1" customWidth="1"/>
    <col min="20" max="20" width="17.44140625" bestFit="1" customWidth="1"/>
    <col min="27" max="27" width="16.77734375" bestFit="1" customWidth="1"/>
    <col min="28" max="28" width="35" bestFit="1" customWidth="1"/>
    <col min="31" max="31" width="20.33203125" customWidth="1"/>
  </cols>
  <sheetData>
    <row r="1" spans="1:31">
      <c r="A1" s="185" t="s">
        <v>111</v>
      </c>
      <c r="B1" s="186" t="s">
        <v>112</v>
      </c>
      <c r="C1" s="187" t="s">
        <v>113</v>
      </c>
      <c r="D1" s="193" t="s">
        <v>114</v>
      </c>
      <c r="E1" s="193" t="s">
        <v>115</v>
      </c>
      <c r="F1" s="193" t="s">
        <v>116</v>
      </c>
      <c r="G1" s="186" t="s">
        <v>117</v>
      </c>
      <c r="H1" s="186" t="s">
        <v>87</v>
      </c>
      <c r="I1" s="178"/>
    </row>
    <row r="2" spans="1:31">
      <c r="A2" t="s">
        <v>118</v>
      </c>
      <c r="B2" s="178">
        <v>0.60599999999999998</v>
      </c>
      <c r="C2" s="188">
        <v>0.73699999999999999</v>
      </c>
      <c r="D2" s="191">
        <v>139.6</v>
      </c>
      <c r="E2" s="191">
        <v>70.400000000000006</v>
      </c>
      <c r="F2" s="191">
        <v>10</v>
      </c>
      <c r="G2">
        <f>D2+E2</f>
        <v>210</v>
      </c>
      <c r="H2" s="178">
        <f t="shared" ref="H2:H10" si="0">G2-F2</f>
        <v>200</v>
      </c>
      <c r="I2" s="178"/>
      <c r="K2" s="590" t="s">
        <v>119</v>
      </c>
      <c r="L2" s="590"/>
      <c r="M2" s="11"/>
      <c r="N2" s="11"/>
      <c r="O2" s="11"/>
      <c r="P2" s="11"/>
    </row>
    <row r="3" spans="1:31">
      <c r="A3" t="s">
        <v>120</v>
      </c>
      <c r="B3" s="178">
        <v>0.66400000000000003</v>
      </c>
      <c r="C3" s="188">
        <v>0.77600000000000002</v>
      </c>
      <c r="D3" s="191">
        <v>211</v>
      </c>
      <c r="E3" s="191">
        <v>113</v>
      </c>
      <c r="F3" s="191">
        <v>0.9</v>
      </c>
      <c r="G3">
        <f t="shared" ref="G3:G10" si="1">D3+E3</f>
        <v>324</v>
      </c>
      <c r="H3" s="178">
        <f t="shared" si="0"/>
        <v>323.10000000000002</v>
      </c>
      <c r="I3" s="178"/>
      <c r="K3" s="198" t="s">
        <v>121</v>
      </c>
      <c r="L3" s="199">
        <v>3.5000000000000003E-2</v>
      </c>
    </row>
    <row r="4" spans="1:31">
      <c r="A4" t="s">
        <v>122</v>
      </c>
      <c r="B4" s="178">
        <v>0.88700000000000001</v>
      </c>
      <c r="C4" s="188">
        <v>0.92500000000000004</v>
      </c>
      <c r="D4" s="191">
        <v>564</v>
      </c>
      <c r="E4" s="191">
        <v>0</v>
      </c>
      <c r="F4" s="191">
        <v>26.8</v>
      </c>
      <c r="G4">
        <f t="shared" si="1"/>
        <v>564</v>
      </c>
      <c r="H4" s="178">
        <f t="shared" si="0"/>
        <v>537.20000000000005</v>
      </c>
      <c r="I4" s="178"/>
      <c r="K4" s="3" t="s">
        <v>123</v>
      </c>
      <c r="L4" s="43">
        <f>0.0475</f>
        <v>4.7500000000000001E-2</v>
      </c>
    </row>
    <row r="5" spans="1:31">
      <c r="A5" t="s">
        <v>124</v>
      </c>
      <c r="B5" s="178">
        <v>0.23599999999999999</v>
      </c>
      <c r="C5" s="188">
        <v>0.49</v>
      </c>
      <c r="D5" s="191">
        <v>880.8</v>
      </c>
      <c r="E5" s="191">
        <v>401.3</v>
      </c>
      <c r="F5" s="191">
        <v>300.60000000000002</v>
      </c>
      <c r="G5">
        <f t="shared" si="1"/>
        <v>1282.0999999999999</v>
      </c>
      <c r="H5" s="178">
        <f t="shared" si="0"/>
        <v>981.49999999999989</v>
      </c>
      <c r="I5" s="178"/>
      <c r="K5" s="3" t="s">
        <v>125</v>
      </c>
      <c r="L5" s="3">
        <f>0</f>
        <v>0</v>
      </c>
    </row>
    <row r="6" spans="1:31">
      <c r="A6" t="s">
        <v>126</v>
      </c>
      <c r="B6" s="178">
        <v>0.36599999999999999</v>
      </c>
      <c r="C6" s="188">
        <v>0.57699999999999996</v>
      </c>
      <c r="D6" s="191">
        <v>1191.5</v>
      </c>
      <c r="E6" s="191">
        <v>125.3</v>
      </c>
      <c r="F6" s="191">
        <v>133.30000000000001</v>
      </c>
      <c r="G6">
        <f t="shared" si="1"/>
        <v>1316.8</v>
      </c>
      <c r="H6" s="178">
        <f t="shared" si="0"/>
        <v>1183.5</v>
      </c>
      <c r="I6" s="178"/>
      <c r="K6" s="25" t="s">
        <v>127</v>
      </c>
      <c r="L6" s="26">
        <f>(L3+L4)</f>
        <v>8.2500000000000004E-2</v>
      </c>
    </row>
    <row r="7" spans="1:31">
      <c r="A7" t="s">
        <v>128</v>
      </c>
      <c r="B7" s="178">
        <v>0.67</v>
      </c>
      <c r="C7" s="188">
        <v>0.78</v>
      </c>
      <c r="D7" s="191">
        <v>613.29999999999995</v>
      </c>
      <c r="E7" s="191">
        <v>67.900000000000006</v>
      </c>
      <c r="F7" s="191">
        <v>2.1</v>
      </c>
      <c r="G7">
        <f t="shared" si="1"/>
        <v>681.19999999999993</v>
      </c>
      <c r="H7" s="178">
        <f t="shared" si="0"/>
        <v>679.09999999999991</v>
      </c>
      <c r="I7" s="178"/>
      <c r="K7" s="3" t="s">
        <v>129</v>
      </c>
      <c r="L7" s="10">
        <f>0.22</f>
        <v>0.22</v>
      </c>
      <c r="O7" s="1"/>
      <c r="Q7" s="1"/>
      <c r="T7" s="1"/>
      <c r="U7" s="419"/>
    </row>
    <row r="8" spans="1:31">
      <c r="A8" t="s">
        <v>130</v>
      </c>
      <c r="B8" s="178">
        <v>0.63300000000000001</v>
      </c>
      <c r="C8" s="188">
        <v>0.755</v>
      </c>
      <c r="D8" s="191">
        <v>13.3</v>
      </c>
      <c r="E8" s="191">
        <v>0.9</v>
      </c>
      <c r="F8" s="191">
        <v>41.1</v>
      </c>
      <c r="G8">
        <f t="shared" si="1"/>
        <v>14.200000000000001</v>
      </c>
      <c r="H8" s="178">
        <f t="shared" si="0"/>
        <v>-26.9</v>
      </c>
      <c r="I8" s="178"/>
      <c r="K8" s="25" t="s">
        <v>131</v>
      </c>
      <c r="L8" s="26">
        <f>L6*(1-L7)</f>
        <v>6.4350000000000004E-2</v>
      </c>
    </row>
    <row r="9" spans="1:31">
      <c r="A9" t="s">
        <v>132</v>
      </c>
      <c r="B9" s="178">
        <v>1.597</v>
      </c>
      <c r="C9" s="188">
        <v>1.3979999999999999</v>
      </c>
      <c r="D9" s="191">
        <v>2372.6</v>
      </c>
      <c r="E9" s="191">
        <v>3276.3</v>
      </c>
      <c r="F9" s="191">
        <v>86.8</v>
      </c>
      <c r="G9">
        <f t="shared" si="1"/>
        <v>5648.9</v>
      </c>
      <c r="H9" s="178">
        <f t="shared" si="0"/>
        <v>5562.0999999999995</v>
      </c>
      <c r="I9" s="178"/>
    </row>
    <row r="10" spans="1:31">
      <c r="A10" s="183" t="s">
        <v>133</v>
      </c>
      <c r="B10" s="184">
        <v>0.84299999999999997</v>
      </c>
      <c r="C10" s="189">
        <v>0.89600000000000002</v>
      </c>
      <c r="D10" s="192">
        <v>50789</v>
      </c>
      <c r="E10" s="192">
        <v>10288</v>
      </c>
      <c r="F10" s="192">
        <v>1037</v>
      </c>
      <c r="G10" s="183">
        <f t="shared" si="1"/>
        <v>61077</v>
      </c>
      <c r="H10" s="184">
        <f t="shared" si="0"/>
        <v>60040</v>
      </c>
      <c r="I10" s="178"/>
    </row>
    <row r="11" spans="1:31">
      <c r="A11" s="11" t="s">
        <v>7</v>
      </c>
      <c r="B11" s="194">
        <f t="shared" ref="B11:H11" si="2">AVERAGE(B2:B10)</f>
        <v>0.72244444444444433</v>
      </c>
      <c r="C11" s="194">
        <f t="shared" si="2"/>
        <v>0.81488888888888888</v>
      </c>
      <c r="D11" s="194">
        <f t="shared" si="2"/>
        <v>6308.344444444444</v>
      </c>
      <c r="E11" s="194">
        <f t="shared" si="2"/>
        <v>1593.6777777777779</v>
      </c>
      <c r="F11" s="194">
        <f t="shared" si="2"/>
        <v>182.06666666666666</v>
      </c>
      <c r="G11" s="194">
        <f t="shared" si="2"/>
        <v>7902.0222222222219</v>
      </c>
      <c r="H11" s="194">
        <f t="shared" si="2"/>
        <v>7719.9555555555562</v>
      </c>
    </row>
    <row r="12" spans="1:31">
      <c r="A12" s="11" t="s">
        <v>134</v>
      </c>
      <c r="B12" s="11">
        <f t="shared" ref="B12:H12" si="3">MEDIAN(B2:B10)</f>
        <v>0.66400000000000003</v>
      </c>
      <c r="C12" s="11">
        <f t="shared" si="3"/>
        <v>0.77600000000000002</v>
      </c>
      <c r="D12" s="11">
        <f t="shared" si="3"/>
        <v>613.29999999999995</v>
      </c>
      <c r="E12" s="11">
        <f t="shared" si="3"/>
        <v>113</v>
      </c>
      <c r="F12" s="11">
        <f t="shared" si="3"/>
        <v>41.1</v>
      </c>
      <c r="G12" s="11">
        <f t="shared" si="3"/>
        <v>681.19999999999993</v>
      </c>
      <c r="H12" s="11">
        <f t="shared" si="3"/>
        <v>679.09999999999991</v>
      </c>
    </row>
    <row r="13" spans="1:31">
      <c r="A13" s="11" t="s">
        <v>135</v>
      </c>
      <c r="B13" s="1">
        <v>2.77</v>
      </c>
      <c r="C13">
        <v>0.98</v>
      </c>
      <c r="D13" s="1">
        <f>147720164.9/1000000</f>
        <v>147.72016490000001</v>
      </c>
      <c r="E13">
        <v>145</v>
      </c>
      <c r="F13">
        <v>11.92</v>
      </c>
      <c r="G13" s="1">
        <f>D13+E13</f>
        <v>292.72016489999999</v>
      </c>
      <c r="H13" s="419">
        <f>G13-F13</f>
        <v>280.80016489999997</v>
      </c>
    </row>
    <row r="15" spans="1:31">
      <c r="A15" s="224" t="s">
        <v>111</v>
      </c>
      <c r="B15" s="225" t="s">
        <v>136</v>
      </c>
      <c r="C15" s="224" t="s">
        <v>137</v>
      </c>
      <c r="D15" s="224" t="s">
        <v>138</v>
      </c>
      <c r="E15" s="224" t="s">
        <v>139</v>
      </c>
      <c r="F15" s="224" t="s">
        <v>140</v>
      </c>
      <c r="G15" s="224" t="s">
        <v>141</v>
      </c>
      <c r="H15" s="178"/>
      <c r="I15" s="140" t="s">
        <v>142</v>
      </c>
      <c r="O15" s="182" t="s">
        <v>111</v>
      </c>
      <c r="P15" s="153" t="s">
        <v>143</v>
      </c>
      <c r="Q15" s="153" t="s">
        <v>144</v>
      </c>
      <c r="R15" s="153" t="s">
        <v>138</v>
      </c>
      <c r="S15" s="153" t="s">
        <v>140</v>
      </c>
      <c r="T15" s="182" t="s">
        <v>141</v>
      </c>
      <c r="U15" s="178"/>
      <c r="AB15" s="517" t="s">
        <v>453</v>
      </c>
      <c r="AC15" s="556" t="s">
        <v>470</v>
      </c>
      <c r="AD15" s="556"/>
      <c r="AE15" s="557"/>
    </row>
    <row r="16" spans="1:31">
      <c r="A16" s="140" t="s">
        <v>120</v>
      </c>
      <c r="B16" s="218">
        <v>0.66400000000000003</v>
      </c>
      <c r="C16" s="219">
        <f>E3/D3</f>
        <v>0.53554502369668244</v>
      </c>
      <c r="D16" s="219">
        <f>B16/(1+(1-E16)*(C16))</f>
        <v>0.47372442941673715</v>
      </c>
      <c r="E16" s="51">
        <v>0.25</v>
      </c>
      <c r="F16" s="219">
        <f>F3/G3</f>
        <v>2.7777777777777779E-3</v>
      </c>
      <c r="G16" s="417">
        <f>D16/(1-F16)</f>
        <v>0.47504399607249409</v>
      </c>
      <c r="H16" s="418"/>
      <c r="I16" s="2">
        <f>_xlfn.VAR.S(G16:G24)</f>
        <v>0.17931973627468978</v>
      </c>
      <c r="J16" s="1"/>
      <c r="K16" s="2"/>
      <c r="L16" s="2"/>
      <c r="M16" s="2"/>
      <c r="O16" s="212" t="s">
        <v>118</v>
      </c>
      <c r="P16" s="143">
        <f t="shared" ref="P16:P24" si="4">I16</f>
        <v>0.17931973627468978</v>
      </c>
      <c r="Q16" s="143">
        <f t="shared" ref="Q16:Q24" si="5">J16</f>
        <v>0</v>
      </c>
      <c r="R16" s="143">
        <f t="shared" ref="R16:R24" si="6">K16</f>
        <v>0</v>
      </c>
      <c r="S16" s="143">
        <f t="shared" ref="S16:S24" si="7">L16</f>
        <v>0</v>
      </c>
      <c r="T16" s="210">
        <f t="shared" ref="T16:T24" si="8">M16</f>
        <v>0</v>
      </c>
      <c r="U16" s="178"/>
      <c r="AB16" s="518" t="s">
        <v>454</v>
      </c>
      <c r="AC16" s="593" t="s">
        <v>462</v>
      </c>
      <c r="AD16" s="593"/>
      <c r="AE16" s="594"/>
    </row>
    <row r="17" spans="1:31">
      <c r="A17" s="140" t="s">
        <v>122</v>
      </c>
      <c r="B17" s="218">
        <v>0.88700000000000001</v>
      </c>
      <c r="C17" s="219">
        <f>E4/D4</f>
        <v>0</v>
      </c>
      <c r="D17" s="219">
        <f t="shared" ref="D17:D23" si="9">B17/(1+(1-E17)*(C17))</f>
        <v>0.88700000000000001</v>
      </c>
      <c r="E17" s="133">
        <v>0.2</v>
      </c>
      <c r="F17" s="219">
        <f>F4/G4</f>
        <v>4.75177304964539E-2</v>
      </c>
      <c r="G17" s="417">
        <f t="shared" ref="G17:G23" si="10">D17/(1-F17)</f>
        <v>0.93125093075204768</v>
      </c>
      <c r="H17" s="418"/>
      <c r="I17" s="440" t="s">
        <v>145</v>
      </c>
      <c r="J17" s="1"/>
      <c r="K17" s="2"/>
      <c r="L17" s="2"/>
      <c r="M17" s="2"/>
      <c r="O17" s="213" t="s">
        <v>120</v>
      </c>
      <c r="P17" s="133" t="str">
        <f t="shared" si="4"/>
        <v>Standardavvik</v>
      </c>
      <c r="Q17" s="133">
        <f t="shared" si="5"/>
        <v>0</v>
      </c>
      <c r="R17" s="133">
        <f t="shared" si="6"/>
        <v>0</v>
      </c>
      <c r="S17" s="133">
        <f t="shared" si="7"/>
        <v>0</v>
      </c>
      <c r="T17" s="211">
        <f t="shared" si="8"/>
        <v>0</v>
      </c>
      <c r="U17" s="178"/>
      <c r="AB17" s="63" t="s">
        <v>455</v>
      </c>
      <c r="AC17" s="593" t="s">
        <v>463</v>
      </c>
      <c r="AD17" s="593"/>
      <c r="AE17" s="594"/>
    </row>
    <row r="18" spans="1:31">
      <c r="A18" s="140" t="s">
        <v>124</v>
      </c>
      <c r="B18" s="218">
        <v>0.23599999999999999</v>
      </c>
      <c r="C18" s="219">
        <f>E5/D5</f>
        <v>0.45560853769300641</v>
      </c>
      <c r="D18" s="219">
        <f t="shared" si="9"/>
        <v>0.17530013796732638</v>
      </c>
      <c r="E18" s="51">
        <v>0.24</v>
      </c>
      <c r="F18" s="219">
        <f>F5/G5</f>
        <v>0.23445909055455896</v>
      </c>
      <c r="G18" s="417">
        <f t="shared" si="10"/>
        <v>0.22898859591228646</v>
      </c>
      <c r="H18" s="419"/>
      <c r="I18" s="2">
        <f>SQRT(I16)</f>
        <v>0.4234616113353013</v>
      </c>
      <c r="J18" s="1"/>
      <c r="K18" s="2"/>
      <c r="L18" s="2"/>
      <c r="M18" s="2"/>
      <c r="O18" s="213" t="s">
        <v>122</v>
      </c>
      <c r="P18" s="133">
        <f t="shared" si="4"/>
        <v>0.4234616113353013</v>
      </c>
      <c r="Q18" s="133">
        <f t="shared" si="5"/>
        <v>0</v>
      </c>
      <c r="R18" s="133">
        <f t="shared" si="6"/>
        <v>0</v>
      </c>
      <c r="S18" s="133">
        <f t="shared" si="7"/>
        <v>0</v>
      </c>
      <c r="T18" s="211">
        <f t="shared" si="8"/>
        <v>0</v>
      </c>
      <c r="U18" s="178"/>
      <c r="AB18" s="63" t="s">
        <v>456</v>
      </c>
      <c r="AC18" s="593" t="s">
        <v>464</v>
      </c>
      <c r="AD18" s="593"/>
      <c r="AE18" s="594"/>
    </row>
    <row r="19" spans="1:31">
      <c r="A19" s="140" t="s">
        <v>126</v>
      </c>
      <c r="B19" s="218">
        <v>0.36599999999999999</v>
      </c>
      <c r="C19" s="219">
        <f>E6/D6</f>
        <v>0.10516156105749055</v>
      </c>
      <c r="D19" s="219">
        <f t="shared" si="9"/>
        <v>0.33891311916737643</v>
      </c>
      <c r="E19" s="51">
        <v>0.24</v>
      </c>
      <c r="F19" s="219">
        <f>F6/G6</f>
        <v>0.10123025516403403</v>
      </c>
      <c r="G19" s="417">
        <f t="shared" si="10"/>
        <v>0.37708558962365973</v>
      </c>
      <c r="H19" s="418"/>
      <c r="I19" s="2"/>
      <c r="J19" s="1"/>
      <c r="K19" s="2"/>
      <c r="L19" s="2"/>
      <c r="M19" s="2"/>
      <c r="O19" s="213" t="s">
        <v>124</v>
      </c>
      <c r="P19" s="133">
        <f t="shared" si="4"/>
        <v>0</v>
      </c>
      <c r="Q19" s="133">
        <f t="shared" si="5"/>
        <v>0</v>
      </c>
      <c r="R19" s="133">
        <f t="shared" si="6"/>
        <v>0</v>
      </c>
      <c r="S19" s="133">
        <f t="shared" si="7"/>
        <v>0</v>
      </c>
      <c r="T19" s="211">
        <f t="shared" si="8"/>
        <v>0</v>
      </c>
      <c r="U19" s="178"/>
      <c r="AB19" s="63" t="s">
        <v>457</v>
      </c>
      <c r="AC19" s="593" t="s">
        <v>463</v>
      </c>
      <c r="AD19" s="593"/>
      <c r="AE19" s="594"/>
    </row>
    <row r="20" spans="1:31">
      <c r="A20" s="140" t="s">
        <v>128</v>
      </c>
      <c r="B20" s="218">
        <v>0.67</v>
      </c>
      <c r="C20" s="219">
        <f>E7/D7</f>
        <v>0.11071253872493073</v>
      </c>
      <c r="D20" s="219">
        <f t="shared" si="9"/>
        <v>0.61863224058112842</v>
      </c>
      <c r="E20" s="51">
        <v>0.25</v>
      </c>
      <c r="F20" s="219">
        <f>F7/G7</f>
        <v>3.0827950675278923E-3</v>
      </c>
      <c r="G20" s="417">
        <f t="shared" si="10"/>
        <v>0.62054525443066511</v>
      </c>
      <c r="H20" s="418"/>
      <c r="I20" s="2"/>
      <c r="J20" s="1"/>
      <c r="K20" s="2"/>
      <c r="L20" s="2"/>
      <c r="M20" s="2"/>
      <c r="O20" s="213" t="s">
        <v>126</v>
      </c>
      <c r="P20" s="133">
        <f t="shared" si="4"/>
        <v>0</v>
      </c>
      <c r="Q20" s="133">
        <f t="shared" si="5"/>
        <v>0</v>
      </c>
      <c r="R20" s="133">
        <f t="shared" si="6"/>
        <v>0</v>
      </c>
      <c r="S20" s="133">
        <f t="shared" si="7"/>
        <v>0</v>
      </c>
      <c r="T20" s="211">
        <f t="shared" si="8"/>
        <v>0</v>
      </c>
      <c r="U20" s="178"/>
      <c r="AB20" s="63" t="s">
        <v>458</v>
      </c>
      <c r="AC20" s="593" t="s">
        <v>465</v>
      </c>
      <c r="AD20" s="593"/>
      <c r="AE20" s="594"/>
    </row>
    <row r="21" spans="1:31">
      <c r="A21" s="140" t="s">
        <v>146</v>
      </c>
      <c r="B21" s="218">
        <f>B2</f>
        <v>0.60599999999999998</v>
      </c>
      <c r="C21" s="219">
        <f>E2/D2</f>
        <v>0.50429799426934108</v>
      </c>
      <c r="D21" s="219">
        <f>B21/(1+(1-E21)*(C21))</f>
        <v>0.43969646569646564</v>
      </c>
      <c r="E21" s="51">
        <v>0.25</v>
      </c>
      <c r="F21" s="219">
        <f>F2/G2</f>
        <v>4.7619047619047616E-2</v>
      </c>
      <c r="G21" s="417">
        <f>D21/(1-F21)</f>
        <v>0.46168128898128896</v>
      </c>
      <c r="H21" s="418"/>
      <c r="I21" s="2"/>
      <c r="J21" s="1"/>
      <c r="K21" s="2"/>
      <c r="L21" s="2"/>
      <c r="M21" s="2"/>
      <c r="O21" s="213" t="s">
        <v>128</v>
      </c>
      <c r="P21" s="133">
        <f t="shared" si="4"/>
        <v>0</v>
      </c>
      <c r="Q21" s="133">
        <f t="shared" si="5"/>
        <v>0</v>
      </c>
      <c r="R21" s="133">
        <f t="shared" si="6"/>
        <v>0</v>
      </c>
      <c r="S21" s="133">
        <f t="shared" si="7"/>
        <v>0</v>
      </c>
      <c r="T21" s="211">
        <f t="shared" si="8"/>
        <v>0</v>
      </c>
      <c r="U21" s="178"/>
      <c r="AB21" s="63" t="s">
        <v>459</v>
      </c>
      <c r="AC21" s="593" t="s">
        <v>466</v>
      </c>
      <c r="AD21" s="593"/>
      <c r="AE21" s="594"/>
    </row>
    <row r="22" spans="1:31">
      <c r="A22" s="140" t="s">
        <v>132</v>
      </c>
      <c r="B22" s="218">
        <v>1.597</v>
      </c>
      <c r="C22" s="219">
        <f>E9/D9</f>
        <v>1.3808901626907191</v>
      </c>
      <c r="D22" s="219">
        <f t="shared" si="9"/>
        <v>0.78450921099625759</v>
      </c>
      <c r="E22" s="51">
        <v>0.25</v>
      </c>
      <c r="F22" s="219">
        <f>F9/G9</f>
        <v>1.5365823434650995E-2</v>
      </c>
      <c r="G22" s="417">
        <f t="shared" si="10"/>
        <v>0.79675196094941825</v>
      </c>
      <c r="H22" s="419"/>
      <c r="I22" s="2"/>
      <c r="J22" s="1"/>
      <c r="K22" s="2"/>
      <c r="L22" s="2"/>
      <c r="M22" s="2"/>
      <c r="N22" s="2"/>
      <c r="O22" s="213" t="s">
        <v>130</v>
      </c>
      <c r="P22" s="133">
        <f t="shared" si="4"/>
        <v>0</v>
      </c>
      <c r="Q22" s="133">
        <f t="shared" si="5"/>
        <v>0</v>
      </c>
      <c r="R22" s="133">
        <f t="shared" si="6"/>
        <v>0</v>
      </c>
      <c r="S22" s="133">
        <f t="shared" si="7"/>
        <v>0</v>
      </c>
      <c r="T22" s="211">
        <f t="shared" si="8"/>
        <v>0</v>
      </c>
      <c r="U22" s="178"/>
      <c r="AB22" s="63" t="s">
        <v>467</v>
      </c>
      <c r="AC22" s="593" t="s">
        <v>468</v>
      </c>
      <c r="AD22" s="593"/>
      <c r="AE22" s="594"/>
    </row>
    <row r="23" spans="1:31">
      <c r="A23" s="140" t="s">
        <v>133</v>
      </c>
      <c r="B23" s="218">
        <v>0.84299999999999997</v>
      </c>
      <c r="C23" s="219">
        <f>E10/D10</f>
        <v>0.20256354722479278</v>
      </c>
      <c r="D23" s="219">
        <f t="shared" si="9"/>
        <v>0.73181996410563199</v>
      </c>
      <c r="E23" s="51">
        <v>0.25</v>
      </c>
      <c r="F23" s="219">
        <f>F10/G10</f>
        <v>1.6978568037067963E-2</v>
      </c>
      <c r="G23" s="417">
        <f t="shared" si="10"/>
        <v>0.74445982591072091</v>
      </c>
      <c r="H23" s="418"/>
      <c r="I23" s="2"/>
      <c r="J23" s="1"/>
      <c r="K23" s="2"/>
      <c r="L23" s="2"/>
      <c r="M23" s="2"/>
      <c r="O23" s="213" t="s">
        <v>132</v>
      </c>
      <c r="P23" s="133">
        <f t="shared" si="4"/>
        <v>0</v>
      </c>
      <c r="Q23" s="133">
        <f t="shared" si="5"/>
        <v>0</v>
      </c>
      <c r="R23" s="133">
        <f t="shared" si="6"/>
        <v>0</v>
      </c>
      <c r="S23" s="133">
        <f t="shared" si="7"/>
        <v>0</v>
      </c>
      <c r="T23" s="211">
        <f t="shared" si="8"/>
        <v>0</v>
      </c>
      <c r="U23" s="178"/>
      <c r="AB23" s="63" t="s">
        <v>460</v>
      </c>
      <c r="AC23" s="593" t="s">
        <v>469</v>
      </c>
      <c r="AD23" s="593"/>
      <c r="AE23" s="594"/>
    </row>
    <row r="24" spans="1:31" ht="15" thickBot="1">
      <c r="A24" s="291" t="s">
        <v>135</v>
      </c>
      <c r="B24" s="422">
        <v>2.77</v>
      </c>
      <c r="C24" s="20">
        <v>0.98</v>
      </c>
      <c r="D24" s="420">
        <f>B24/(1+(1-E24)*(C24))</f>
        <v>1.5965417867435159</v>
      </c>
      <c r="E24" s="20">
        <v>0.25</v>
      </c>
      <c r="F24" s="420">
        <f>F13/G13</f>
        <v>4.0721485668990892E-2</v>
      </c>
      <c r="G24" s="421">
        <f>D24/(1-F24)</f>
        <v>1.6643151732184136</v>
      </c>
      <c r="H24" s="418"/>
      <c r="I24" s="2"/>
      <c r="J24" s="6"/>
      <c r="K24" s="2"/>
      <c r="L24" s="2"/>
      <c r="M24" s="2"/>
      <c r="O24" s="214" t="s">
        <v>133</v>
      </c>
      <c r="P24" s="215">
        <f t="shared" si="4"/>
        <v>0</v>
      </c>
      <c r="Q24" s="215">
        <f t="shared" si="5"/>
        <v>0</v>
      </c>
      <c r="R24" s="215">
        <f t="shared" si="6"/>
        <v>0</v>
      </c>
      <c r="S24" s="215">
        <f t="shared" si="7"/>
        <v>0</v>
      </c>
      <c r="T24" s="216">
        <f t="shared" si="8"/>
        <v>0</v>
      </c>
      <c r="U24" s="178"/>
      <c r="AB24" s="198" t="s">
        <v>461</v>
      </c>
      <c r="AC24" s="595" t="s">
        <v>471</v>
      </c>
      <c r="AD24" s="595"/>
      <c r="AE24" s="596"/>
    </row>
    <row r="25" spans="1:31">
      <c r="A25" s="140" t="s">
        <v>7</v>
      </c>
      <c r="B25" s="222">
        <f>AVERAGE(B16:B23)</f>
        <v>0.73362499999999997</v>
      </c>
      <c r="C25" s="220">
        <f>AVERAGE(C16:C23)</f>
        <v>0.41184742066962038</v>
      </c>
      <c r="D25" s="220">
        <f>AVERAGE(D16:D23)</f>
        <v>0.5561994459913655</v>
      </c>
      <c r="E25" s="220"/>
      <c r="F25" s="220"/>
      <c r="G25" s="220">
        <f>AVERAGE(G16:G23)</f>
        <v>0.57947593032907263</v>
      </c>
      <c r="H25" s="17"/>
      <c r="I25" s="35"/>
      <c r="O25" s="202" t="s">
        <v>7</v>
      </c>
      <c r="P25" s="143">
        <f>AVERAGE(P16:P24)</f>
        <v>7.5347668451248878E-2</v>
      </c>
      <c r="Q25" s="143">
        <f>AVERAGE(Q16:Q24)</f>
        <v>0</v>
      </c>
      <c r="R25" s="143">
        <f>AVERAGE(R16:R24)</f>
        <v>0</v>
      </c>
      <c r="S25" s="143">
        <f>AVERAGE(S16:S24)</f>
        <v>0</v>
      </c>
      <c r="T25" s="210">
        <f>AVERAGE(T16:T24)</f>
        <v>0</v>
      </c>
      <c r="U25" s="178"/>
    </row>
    <row r="26" spans="1:31">
      <c r="A26" s="224" t="s">
        <v>134</v>
      </c>
      <c r="B26" s="223">
        <f>MEDIAN(B16:B23)</f>
        <v>0.66700000000000004</v>
      </c>
      <c r="C26" s="221">
        <f>MEDIAN(C16:C23)</f>
        <v>0.32908604245889961</v>
      </c>
      <c r="D26" s="221">
        <f>MEDIAN(D16:D23)</f>
        <v>0.54617833499893276</v>
      </c>
      <c r="E26" s="221"/>
      <c r="F26" s="221"/>
      <c r="G26" s="221">
        <f>MEDIAN(G16:G24)</f>
        <v>0.62054525443066511</v>
      </c>
      <c r="H26" s="178"/>
      <c r="I26" s="2"/>
      <c r="J26" s="2"/>
      <c r="K26" s="2"/>
      <c r="L26" s="2"/>
      <c r="M26" s="2"/>
      <c r="O26" s="202" t="s">
        <v>134</v>
      </c>
      <c r="P26" s="133">
        <f>MEDIAN(P16:P24)</f>
        <v>0</v>
      </c>
      <c r="Q26" s="133">
        <f>MEDIAN(Q16:Q24)</f>
        <v>0</v>
      </c>
      <c r="R26" s="133">
        <f>MEDIAN(R16:R24)</f>
        <v>0</v>
      </c>
      <c r="S26" s="133">
        <f>MEDIAN(S16:S24)</f>
        <v>0</v>
      </c>
      <c r="T26" s="211">
        <f>MEDIAN(T16:T24)</f>
        <v>0</v>
      </c>
      <c r="U26" s="178"/>
    </row>
    <row r="27" spans="1:31">
      <c r="A27" s="140" t="s">
        <v>147</v>
      </c>
      <c r="B27" s="226">
        <f>G26*(1+(1-0.22)*((Forecast!I58/Forecast!I48)))</f>
        <v>1.8622456657885134</v>
      </c>
      <c r="O27" s="144"/>
      <c r="P27" s="144"/>
      <c r="Q27" s="144"/>
      <c r="R27" s="144"/>
      <c r="S27" s="144"/>
      <c r="T27" s="144"/>
    </row>
    <row r="28" spans="1:31">
      <c r="A28" s="316" t="s">
        <v>148</v>
      </c>
      <c r="B28" s="461">
        <f>(B27*(2/3))+(1/3)</f>
        <v>1.5748304438590088</v>
      </c>
      <c r="D28" s="219"/>
      <c r="G28" s="417"/>
      <c r="H28" s="11"/>
      <c r="I28" s="1"/>
      <c r="O28" s="140" t="s">
        <v>149</v>
      </c>
      <c r="P28" s="217">
        <f>T26*(1+(1-0.22)*C49)</f>
        <v>0</v>
      </c>
      <c r="Q28" s="51"/>
      <c r="R28" s="51"/>
      <c r="S28" s="51"/>
      <c r="T28" s="51"/>
    </row>
    <row r="29" spans="1:31">
      <c r="C29" s="190"/>
    </row>
    <row r="31" spans="1:31">
      <c r="A31" s="591" t="s">
        <v>150</v>
      </c>
      <c r="B31" s="592"/>
      <c r="G31" s="190"/>
    </row>
    <row r="32" spans="1:31">
      <c r="A32" s="17" t="s">
        <v>118</v>
      </c>
      <c r="B32" s="18">
        <v>0.192</v>
      </c>
      <c r="E32" s="2"/>
      <c r="G32" s="190"/>
    </row>
    <row r="33" spans="1:7">
      <c r="A33" s="17" t="s">
        <v>151</v>
      </c>
      <c r="B33" s="18">
        <v>0.40600000000000003</v>
      </c>
      <c r="E33" s="2"/>
      <c r="G33" s="190"/>
    </row>
    <row r="34" spans="1:7">
      <c r="A34" s="17" t="s">
        <v>152</v>
      </c>
      <c r="B34" s="18">
        <v>0.38900000000000001</v>
      </c>
      <c r="E34" s="6"/>
      <c r="G34" s="190"/>
    </row>
    <row r="35" spans="1:7">
      <c r="A35" s="17" t="s">
        <v>153</v>
      </c>
      <c r="B35" s="18">
        <v>0.223</v>
      </c>
      <c r="G35" s="190"/>
    </row>
    <row r="36" spans="1:7">
      <c r="A36" s="17" t="s">
        <v>126</v>
      </c>
      <c r="B36" s="18">
        <v>0.44</v>
      </c>
      <c r="E36" s="2"/>
      <c r="G36" s="190"/>
    </row>
    <row r="37" spans="1:7">
      <c r="A37" s="17" t="s">
        <v>154</v>
      </c>
      <c r="B37" s="18">
        <v>0.35599999999999998</v>
      </c>
      <c r="E37" s="2"/>
      <c r="G37" s="190"/>
    </row>
    <row r="38" spans="1:7">
      <c r="A38" s="17" t="s">
        <v>130</v>
      </c>
      <c r="B38" s="18">
        <v>0.14799999999999999</v>
      </c>
      <c r="G38" s="190"/>
    </row>
    <row r="39" spans="1:7">
      <c r="A39" s="17" t="s">
        <v>155</v>
      </c>
      <c r="B39" s="18">
        <v>0.69</v>
      </c>
    </row>
    <row r="40" spans="1:7">
      <c r="A40" s="17" t="s">
        <v>156</v>
      </c>
      <c r="B40" s="18">
        <v>0.63700000000000001</v>
      </c>
    </row>
    <row r="41" spans="1:7" ht="15" thickBot="1">
      <c r="A41" s="15" t="s">
        <v>157</v>
      </c>
      <c r="B41" s="201">
        <f>AVERAGE(B32:B40)</f>
        <v>0.38677777777777783</v>
      </c>
    </row>
    <row r="49" spans="3:5">
      <c r="C49" s="1"/>
    </row>
    <row r="55" spans="3:5">
      <c r="E55" s="190"/>
    </row>
    <row r="56" spans="3:5">
      <c r="E56" s="190"/>
    </row>
    <row r="57" spans="3:5">
      <c r="E57" s="190"/>
    </row>
    <row r="58" spans="3:5">
      <c r="E58" s="190"/>
    </row>
    <row r="59" spans="3:5">
      <c r="E59" s="190"/>
    </row>
  </sheetData>
  <mergeCells count="12">
    <mergeCell ref="K2:L2"/>
    <mergeCell ref="A31:B31"/>
    <mergeCell ref="AC16:AE16"/>
    <mergeCell ref="AC17:AE17"/>
    <mergeCell ref="AC15:AE15"/>
    <mergeCell ref="AC18:AE18"/>
    <mergeCell ref="AC19:AE19"/>
    <mergeCell ref="AC20:AE20"/>
    <mergeCell ref="AC21:AE21"/>
    <mergeCell ref="AC22:AE22"/>
    <mergeCell ref="AC23:AE23"/>
    <mergeCell ref="AC24:AE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7E40-F552-F74F-9B40-A30FA377F1F5}">
  <sheetPr codeName="Ark7"/>
  <dimension ref="A1:R25"/>
  <sheetViews>
    <sheetView zoomScale="103" workbookViewId="0">
      <selection activeCell="B32" sqref="B32"/>
    </sheetView>
  </sheetViews>
  <sheetFormatPr defaultColWidth="11.44140625" defaultRowHeight="14.4"/>
  <cols>
    <col min="1" max="1" width="22.109375" customWidth="1"/>
    <col min="2" max="2" width="10.33203125" bestFit="1" customWidth="1"/>
    <col min="3" max="4" width="12" bestFit="1" customWidth="1"/>
    <col min="5" max="5" width="16.77734375" bestFit="1" customWidth="1"/>
    <col min="6" max="6" width="12" bestFit="1" customWidth="1"/>
    <col min="7" max="7" width="10.77734375" customWidth="1"/>
    <col min="8" max="8" width="10.6640625" customWidth="1"/>
    <col min="9" max="11" width="11.109375" bestFit="1" customWidth="1"/>
    <col min="12" max="12" width="11.6640625" bestFit="1" customWidth="1"/>
    <col min="15" max="15" width="21.77734375" bestFit="1" customWidth="1"/>
    <col min="16" max="16" width="9.109375" customWidth="1"/>
    <col min="19" max="19" width="11.6640625" customWidth="1"/>
  </cols>
  <sheetData>
    <row r="1" spans="1:18" ht="23.4">
      <c r="A1" s="602" t="s">
        <v>441</v>
      </c>
      <c r="B1" s="603"/>
      <c r="C1" s="603"/>
      <c r="D1" s="603"/>
      <c r="E1" s="603"/>
      <c r="F1" s="603"/>
      <c r="G1" s="604"/>
      <c r="H1" s="506"/>
      <c r="I1" s="506"/>
      <c r="J1" s="506"/>
      <c r="K1" s="506"/>
      <c r="L1" s="507"/>
    </row>
    <row r="2" spans="1:18">
      <c r="A2" s="509"/>
      <c r="B2" s="198" t="s">
        <v>445</v>
      </c>
      <c r="C2" s="198">
        <v>1</v>
      </c>
      <c r="D2" s="198">
        <v>2</v>
      </c>
      <c r="E2" s="198">
        <v>3</v>
      </c>
      <c r="F2" s="198">
        <v>4</v>
      </c>
      <c r="G2" s="198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O2" s="611" t="s">
        <v>446</v>
      </c>
      <c r="P2" s="611"/>
      <c r="Q2" s="611"/>
      <c r="R2" s="611"/>
    </row>
    <row r="3" spans="1:18">
      <c r="A3" s="297" t="s">
        <v>442</v>
      </c>
      <c r="B3" s="129">
        <f>($B$23*(1-0.22))+(B10*$B$22)</f>
        <v>0.12556941969680213</v>
      </c>
      <c r="C3" s="129">
        <f>($B$23*(1-0.22))+(C10*$B$22)</f>
        <v>8.0226066543687469E-2</v>
      </c>
      <c r="D3" s="129">
        <f>($B$23*(1-0.22))+(D10*$B$22)</f>
        <v>8.0529222637660797E-2</v>
      </c>
      <c r="E3" s="129">
        <f>($B$23*(1-0.22))+(E10*$B$22)</f>
        <v>8.0523649366602362E-2</v>
      </c>
      <c r="F3" s="129">
        <f t="shared" ref="F3:L3" si="0">($B$23*(1-0.22))+(F10*$B$22)</f>
        <v>8.0523750641953939E-2</v>
      </c>
      <c r="G3" s="129">
        <f t="shared" si="0"/>
        <v>8.0523748801225731E-2</v>
      </c>
      <c r="H3" s="129">
        <f t="shared" si="0"/>
        <v>8.0523748834681719E-2</v>
      </c>
      <c r="I3" s="129">
        <f t="shared" si="0"/>
        <v>8.052374883407365E-2</v>
      </c>
      <c r="J3" s="129">
        <f t="shared" si="0"/>
        <v>8.0523748834084696E-2</v>
      </c>
      <c r="K3" s="129">
        <f t="shared" si="0"/>
        <v>8.0523748834084502E-2</v>
      </c>
      <c r="L3" s="319">
        <f t="shared" si="0"/>
        <v>8.0523748834084502E-2</v>
      </c>
      <c r="O3" s="296" t="s">
        <v>200</v>
      </c>
      <c r="P3" s="612">
        <f>L3</f>
        <v>8.0523748834084502E-2</v>
      </c>
      <c r="Q3" s="612"/>
      <c r="R3" s="613"/>
    </row>
    <row r="4" spans="1:18">
      <c r="A4" s="297" t="s">
        <v>443</v>
      </c>
      <c r="B4" s="129">
        <f t="shared" ref="B4:L4" si="1">0.0475</f>
        <v>4.7500000000000001E-2</v>
      </c>
      <c r="C4" s="129">
        <f t="shared" si="1"/>
        <v>4.7500000000000001E-2</v>
      </c>
      <c r="D4" s="129">
        <f t="shared" si="1"/>
        <v>4.7500000000000001E-2</v>
      </c>
      <c r="E4" s="129">
        <f t="shared" si="1"/>
        <v>4.7500000000000001E-2</v>
      </c>
      <c r="F4" s="129">
        <f t="shared" si="1"/>
        <v>4.7500000000000001E-2</v>
      </c>
      <c r="G4" s="129">
        <f t="shared" si="1"/>
        <v>4.7500000000000001E-2</v>
      </c>
      <c r="H4" s="129">
        <f t="shared" si="1"/>
        <v>4.7500000000000001E-2</v>
      </c>
      <c r="I4" s="129">
        <f t="shared" si="1"/>
        <v>4.7500000000000001E-2</v>
      </c>
      <c r="J4" s="129">
        <f t="shared" si="1"/>
        <v>4.7500000000000001E-2</v>
      </c>
      <c r="K4" s="129">
        <f t="shared" si="1"/>
        <v>4.7500000000000001E-2</v>
      </c>
      <c r="L4" s="319">
        <f t="shared" si="1"/>
        <v>4.7500000000000001E-2</v>
      </c>
      <c r="O4" s="297" t="s">
        <v>199</v>
      </c>
      <c r="P4" s="614">
        <f>L4</f>
        <v>4.7500000000000001E-2</v>
      </c>
      <c r="Q4" s="614"/>
      <c r="R4" s="615"/>
    </row>
    <row r="5" spans="1:18">
      <c r="A5" s="297" t="s">
        <v>92</v>
      </c>
      <c r="B5" s="129">
        <f>(B3*(B6/(B7+B6)))+(B4*(1-$B$24)*(B7/(B7+B6)))</f>
        <v>6.1877606319032649E-2</v>
      </c>
      <c r="C5" s="129">
        <f>(C3*(C6/(C7+C6)))+(C4*(1-$B$24)*(C7/(C7+C6)))</f>
        <v>6.9922348928949635E-2</v>
      </c>
      <c r="D5" s="129">
        <f>(D3*(D6/(D7+D6)))+(D4*(1-$B$24)*(D7/(D7+D6)))</f>
        <v>6.977800242863802E-2</v>
      </c>
      <c r="E5" s="129">
        <f t="shared" ref="E5:K5" si="2">(E3*(E6/(E7+E6)))+(E4*(1-$B$24)*(E7/(E7+E6)))</f>
        <v>6.9780626590861095E-2</v>
      </c>
      <c r="F5" s="129">
        <f t="shared" si="2"/>
        <v>6.9780578895831599E-2</v>
      </c>
      <c r="G5" s="129">
        <f t="shared" si="2"/>
        <v>6.9780579762708489E-2</v>
      </c>
      <c r="H5" s="129">
        <f t="shared" si="2"/>
        <v>6.9780579746952648E-2</v>
      </c>
      <c r="I5" s="129">
        <f t="shared" si="2"/>
        <v>6.9780579747239016E-2</v>
      </c>
      <c r="J5" s="129">
        <f t="shared" si="2"/>
        <v>6.9780579747233812E-2</v>
      </c>
      <c r="K5" s="129">
        <f t="shared" si="2"/>
        <v>6.9780579747233909E-2</v>
      </c>
      <c r="L5" s="319">
        <f>(L3*(L6/(L7+L6)))+(L4*(1-$B$24)*(L7/(L7+L6)))</f>
        <v>6.9780579747233909E-2</v>
      </c>
      <c r="O5" s="297" t="s">
        <v>201</v>
      </c>
      <c r="P5" s="614">
        <f>L5</f>
        <v>6.9780579747233909E-2</v>
      </c>
      <c r="Q5" s="614"/>
      <c r="R5" s="615"/>
    </row>
    <row r="6" spans="1:18">
      <c r="A6" s="297" t="s">
        <v>438</v>
      </c>
      <c r="B6" s="260">
        <f>Forecast!I48</f>
        <v>39383.858999999997</v>
      </c>
      <c r="C6" s="260">
        <f>B15</f>
        <v>322332.29608846706</v>
      </c>
      <c r="D6" s="260">
        <f t="shared" ref="D6:K6" si="3">C15</f>
        <v>307559.2356707271</v>
      </c>
      <c r="E6" s="260">
        <f t="shared" si="3"/>
        <v>307818.59708732646</v>
      </c>
      <c r="F6" s="260">
        <f t="shared" si="3"/>
        <v>307813.88016863656</v>
      </c>
      <c r="G6" s="260">
        <f t="shared" si="3"/>
        <v>307813.96589961252</v>
      </c>
      <c r="H6" s="260">
        <f t="shared" si="3"/>
        <v>307813.96434141649</v>
      </c>
      <c r="I6" s="260">
        <f t="shared" si="3"/>
        <v>307813.96436973731</v>
      </c>
      <c r="J6" s="260">
        <f t="shared" si="3"/>
        <v>307813.96436922252</v>
      </c>
      <c r="K6" s="260">
        <f t="shared" si="3"/>
        <v>307813.96436923195</v>
      </c>
      <c r="L6" s="310">
        <f>K15</f>
        <v>307813.96436923166</v>
      </c>
      <c r="O6" s="297" t="s">
        <v>203</v>
      </c>
      <c r="P6" s="597">
        <f>L7</f>
        <v>101033.88</v>
      </c>
      <c r="Q6" s="597"/>
      <c r="R6" s="598"/>
    </row>
    <row r="7" spans="1:18">
      <c r="A7" s="297" t="s">
        <v>88</v>
      </c>
      <c r="B7" s="260">
        <f>Forecast!$I$58</f>
        <v>101033.88</v>
      </c>
      <c r="C7" s="260">
        <f>Forecast!$I$58</f>
        <v>101033.88</v>
      </c>
      <c r="D7" s="260">
        <f>Forecast!$I$58</f>
        <v>101033.88</v>
      </c>
      <c r="E7" s="260">
        <f>Forecast!$I$58</f>
        <v>101033.88</v>
      </c>
      <c r="F7" s="260">
        <f>Forecast!$I$58</f>
        <v>101033.88</v>
      </c>
      <c r="G7" s="260">
        <f>Forecast!$I$58</f>
        <v>101033.88</v>
      </c>
      <c r="H7" s="260">
        <f>Forecast!$I$58</f>
        <v>101033.88</v>
      </c>
      <c r="I7" s="260">
        <f>Forecast!$I$58</f>
        <v>101033.88</v>
      </c>
      <c r="J7" s="260">
        <f>Forecast!$I$58</f>
        <v>101033.88</v>
      </c>
      <c r="K7" s="260">
        <f>Forecast!$I$58</f>
        <v>101033.88</v>
      </c>
      <c r="L7" s="310">
        <f>Forecast!$I$58</f>
        <v>101033.88</v>
      </c>
      <c r="O7" s="297" t="s">
        <v>204</v>
      </c>
      <c r="P7" s="605">
        <f>L8</f>
        <v>0.62054525443066511</v>
      </c>
      <c r="Q7" s="605"/>
      <c r="R7" s="606"/>
    </row>
    <row r="8" spans="1:18">
      <c r="A8" s="297" t="s">
        <v>204</v>
      </c>
      <c r="B8" s="259">
        <f>Avkastningskrav1!$G$26</f>
        <v>0.62054525443066511</v>
      </c>
      <c r="C8" s="259">
        <f>Avkastningskrav1!$G$26</f>
        <v>0.62054525443066511</v>
      </c>
      <c r="D8" s="259">
        <f>Avkastningskrav1!$G$26</f>
        <v>0.62054525443066511</v>
      </c>
      <c r="E8" s="259">
        <f>Avkastningskrav1!$G$26</f>
        <v>0.62054525443066511</v>
      </c>
      <c r="F8" s="259">
        <f>Avkastningskrav1!$G$26</f>
        <v>0.62054525443066511</v>
      </c>
      <c r="G8" s="259">
        <f>Avkastningskrav1!$G$26</f>
        <v>0.62054525443066511</v>
      </c>
      <c r="H8" s="259">
        <f>Avkastningskrav1!$G$26</f>
        <v>0.62054525443066511</v>
      </c>
      <c r="I8" s="259">
        <f>Avkastningskrav1!$G$26</f>
        <v>0.62054525443066511</v>
      </c>
      <c r="J8" s="259">
        <f>Avkastningskrav1!$G$26</f>
        <v>0.62054525443066511</v>
      </c>
      <c r="K8" s="259">
        <f>Avkastningskrav1!$G$26</f>
        <v>0.62054525443066511</v>
      </c>
      <c r="L8" s="259">
        <f>Avkastningskrav1!$G$26</f>
        <v>0.62054525443066511</v>
      </c>
      <c r="M8" s="309"/>
      <c r="O8" s="297" t="s">
        <v>205</v>
      </c>
      <c r="P8" s="605">
        <f>L9</f>
        <v>0.77941703928087736</v>
      </c>
      <c r="Q8" s="605"/>
      <c r="R8" s="606"/>
    </row>
    <row r="9" spans="1:18">
      <c r="A9" s="297" t="s">
        <v>205</v>
      </c>
      <c r="B9" s="259">
        <f>B8*(1+(1-$B$24)*(B7/B6))</f>
        <v>1.8622456657885134</v>
      </c>
      <c r="C9" s="259">
        <f>C8*(1+(1-$B$24)*(C7/C6))</f>
        <v>0.77226121499248734</v>
      </c>
      <c r="D9" s="259">
        <f>D8*(1+(1-$B$24)*(D7/D6))</f>
        <v>0.77954862109761502</v>
      </c>
      <c r="E9" s="259">
        <f>E8*(1+(1-$B$24)*(E7/E6))</f>
        <v>0.77941464823563389</v>
      </c>
      <c r="F9" s="259">
        <f t="shared" ref="F9:L9" si="4">F8*(1+(1-$B$24)*(F7/F6))</f>
        <v>0.77941708273927768</v>
      </c>
      <c r="G9" s="259">
        <f t="shared" si="4"/>
        <v>0.77941703849100308</v>
      </c>
      <c r="H9" s="259">
        <f t="shared" si="4"/>
        <v>0.77941703929523365</v>
      </c>
      <c r="I9" s="259">
        <f t="shared" si="4"/>
        <v>0.77941703928061645</v>
      </c>
      <c r="J9" s="259">
        <f t="shared" si="4"/>
        <v>0.77941703928088213</v>
      </c>
      <c r="K9" s="259">
        <f t="shared" si="4"/>
        <v>0.77941703928087724</v>
      </c>
      <c r="L9" s="314">
        <f t="shared" si="4"/>
        <v>0.77941703928087736</v>
      </c>
      <c r="O9" s="298" t="s">
        <v>206</v>
      </c>
      <c r="P9" s="607">
        <f>L10</f>
        <v>0.85294469285391816</v>
      </c>
      <c r="Q9" s="607"/>
      <c r="R9" s="608"/>
    </row>
    <row r="10" spans="1:18">
      <c r="A10" s="298" t="s">
        <v>148</v>
      </c>
      <c r="B10" s="315">
        <f>(B9*(2/3))+(1/3)</f>
        <v>1.5748304438590088</v>
      </c>
      <c r="C10" s="315">
        <f>(C9*(2/3))+(1/3)</f>
        <v>0.84817414332832475</v>
      </c>
      <c r="D10" s="315">
        <f>(D9*(2/3))+(1/3)</f>
        <v>0.85303241406507668</v>
      </c>
      <c r="E10" s="315">
        <f t="shared" ref="E10:L10" si="5">(E9*(2/3))+(1/3)</f>
        <v>0.85294309882375585</v>
      </c>
      <c r="F10" s="315">
        <f t="shared" si="5"/>
        <v>0.85294472182618497</v>
      </c>
      <c r="G10" s="315">
        <f t="shared" si="5"/>
        <v>0.85294469232733539</v>
      </c>
      <c r="H10" s="315">
        <f>(H9*(2/3))+(1/3)</f>
        <v>0.85294469286348895</v>
      </c>
      <c r="I10" s="315">
        <f>(I9*(2/3))+(1/3)</f>
        <v>0.8529446928537443</v>
      </c>
      <c r="J10" s="315">
        <f t="shared" si="5"/>
        <v>0.85294469285392127</v>
      </c>
      <c r="K10" s="315">
        <f t="shared" si="5"/>
        <v>0.85294469285391816</v>
      </c>
      <c r="L10" s="304">
        <f t="shared" si="5"/>
        <v>0.85294469285391816</v>
      </c>
      <c r="O10" s="11"/>
    </row>
    <row r="11" spans="1:18">
      <c r="A11" s="11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O11" s="296" t="s">
        <v>207</v>
      </c>
      <c r="P11" s="609">
        <f>L12</f>
        <v>66136.805190168452</v>
      </c>
      <c r="Q11" s="609"/>
      <c r="R11" s="610"/>
    </row>
    <row r="12" spans="1:18">
      <c r="A12" s="296" t="s">
        <v>208</v>
      </c>
      <c r="B12" s="387">
        <f>'Forecast FCFF'!C25</f>
        <v>67710.838084106115</v>
      </c>
      <c r="C12" s="387">
        <f>NPV(C5,'Forecast FCFF'!$C$20:$G$20)</f>
        <v>66109.069551880093</v>
      </c>
      <c r="D12" s="387">
        <f>NPV(D5,'Forecast FCFF'!$C$20:$G$20)</f>
        <v>66137.309576084575</v>
      </c>
      <c r="E12" s="387">
        <f>NPV(E5,'Forecast FCFF'!$C$20:$G$20)</f>
        <v>66136.796022838927</v>
      </c>
      <c r="F12" s="387">
        <f>NPV(F5,'Forecast FCFF'!$C$20:$G$20)</f>
        <v>66136.805356788478</v>
      </c>
      <c r="G12" s="387">
        <f>NPV(G5,'Forecast FCFF'!$C$20:$G$20)</f>
        <v>66136.805187140068</v>
      </c>
      <c r="H12" s="387">
        <f>NPV(H5,'Forecast FCFF'!$C$20:$G$20)</f>
        <v>66136.805190223502</v>
      </c>
      <c r="I12" s="387">
        <f>NPV(I5,'Forecast FCFF'!$C$20:$G$20)</f>
        <v>66136.805190167448</v>
      </c>
      <c r="J12" s="387">
        <f>NPV(J5,'Forecast FCFF'!$C$20:$G$20)</f>
        <v>66136.805190168481</v>
      </c>
      <c r="K12" s="387">
        <f>NPV(K5,'Forecast FCFF'!$C$20:$G$20)</f>
        <v>66136.805190168452</v>
      </c>
      <c r="L12" s="387">
        <f>NPV(L5,'Forecast FCFF'!$C$20:$G$20)</f>
        <v>66136.805190168452</v>
      </c>
      <c r="O12" s="297" t="s">
        <v>72</v>
      </c>
      <c r="P12" s="597">
        <f>L13</f>
        <v>342711.03917906323</v>
      </c>
      <c r="Q12" s="597"/>
      <c r="R12" s="598"/>
    </row>
    <row r="13" spans="1:18">
      <c r="A13" s="297" t="s">
        <v>209</v>
      </c>
      <c r="B13" s="260">
        <f>'Forecast FCFF'!C24</f>
        <v>355655.33800436096</v>
      </c>
      <c r="C13" s="260">
        <f>'Forecast FCFF'!$C$23/(1+C5)^5</f>
        <v>342484.04611884704</v>
      </c>
      <c r="D13" s="260">
        <f>'Forecast FCFF'!$C$23/(1+D5)^5</f>
        <v>342715.16751124192</v>
      </c>
      <c r="E13" s="260">
        <f>'Forecast FCFF'!$C$23/(1+E5)^5</f>
        <v>342710.96414579765</v>
      </c>
      <c r="F13" s="260">
        <f>'Forecast FCFF'!$C$23/(1+F5)^5</f>
        <v>342711.04054282402</v>
      </c>
      <c r="G13" s="260">
        <f>'Forecast FCFF'!$C$23/(1+G5)^5</f>
        <v>342711.03915427643</v>
      </c>
      <c r="H13" s="260">
        <f>'Forecast FCFF'!$C$23/(1+H5)^5</f>
        <v>342711.03917951381</v>
      </c>
      <c r="I13" s="260">
        <f>'Forecast FCFF'!$C$23/(1+I5)^5</f>
        <v>342711.03917905508</v>
      </c>
      <c r="J13" s="260">
        <f>'Forecast FCFF'!$C$23/(1+J5)^5</f>
        <v>342711.03917906346</v>
      </c>
      <c r="K13" s="260">
        <f>'Forecast FCFF'!$C$23/(1+K5)^5</f>
        <v>342711.03917906323</v>
      </c>
      <c r="L13" s="260">
        <f>'Forecast FCFF'!$C$23/(1+L5)^5</f>
        <v>342711.03917906323</v>
      </c>
      <c r="O13" s="297" t="s">
        <v>172</v>
      </c>
      <c r="P13" s="597">
        <f>L14</f>
        <v>408847.84436923167</v>
      </c>
      <c r="Q13" s="597"/>
      <c r="R13" s="598"/>
    </row>
    <row r="14" spans="1:18">
      <c r="A14" s="297" t="s">
        <v>87</v>
      </c>
      <c r="B14" s="260">
        <f>SUM(B12:B13)</f>
        <v>423366.17608846707</v>
      </c>
      <c r="C14" s="260">
        <f t="shared" ref="C14:J14" si="6">C12+C13</f>
        <v>408593.1156707271</v>
      </c>
      <c r="D14" s="260">
        <f t="shared" si="6"/>
        <v>408852.47708732646</v>
      </c>
      <c r="E14" s="260">
        <f t="shared" si="6"/>
        <v>408847.76016863657</v>
      </c>
      <c r="F14" s="260">
        <f t="shared" si="6"/>
        <v>408847.84589961253</v>
      </c>
      <c r="G14" s="260">
        <f t="shared" si="6"/>
        <v>408847.84434141649</v>
      </c>
      <c r="H14" s="260">
        <f t="shared" si="6"/>
        <v>408847.84436973731</v>
      </c>
      <c r="I14" s="260">
        <f t="shared" si="6"/>
        <v>408847.84436922253</v>
      </c>
      <c r="J14" s="260">
        <f t="shared" si="6"/>
        <v>408847.84436923196</v>
      </c>
      <c r="K14" s="260">
        <f>K12+K13</f>
        <v>408847.84436923167</v>
      </c>
      <c r="L14" s="310">
        <f>L12+L13</f>
        <v>408847.84436923167</v>
      </c>
      <c r="O14" s="298" t="s">
        <v>202</v>
      </c>
      <c r="P14" s="616">
        <f>L15</f>
        <v>307813.96436923166</v>
      </c>
      <c r="Q14" s="616"/>
      <c r="R14" s="617"/>
    </row>
    <row r="15" spans="1:18">
      <c r="A15" s="298" t="s">
        <v>444</v>
      </c>
      <c r="B15" s="321">
        <f t="shared" ref="B15:L15" si="7">B14-B7</f>
        <v>322332.29608846706</v>
      </c>
      <c r="C15" s="321">
        <f t="shared" si="7"/>
        <v>307559.2356707271</v>
      </c>
      <c r="D15" s="321">
        <f t="shared" si="7"/>
        <v>307818.59708732646</v>
      </c>
      <c r="E15" s="321">
        <f t="shared" si="7"/>
        <v>307813.88016863656</v>
      </c>
      <c r="F15" s="321">
        <f t="shared" si="7"/>
        <v>307813.96589961252</v>
      </c>
      <c r="G15" s="321">
        <f t="shared" si="7"/>
        <v>307813.96434141649</v>
      </c>
      <c r="H15" s="321">
        <f t="shared" si="7"/>
        <v>307813.96436973731</v>
      </c>
      <c r="I15" s="321">
        <f t="shared" si="7"/>
        <v>307813.96436922252</v>
      </c>
      <c r="J15" s="321">
        <f t="shared" si="7"/>
        <v>307813.96436923195</v>
      </c>
      <c r="K15" s="321">
        <f>K14-K7</f>
        <v>307813.96436923166</v>
      </c>
      <c r="L15" s="311">
        <f t="shared" si="7"/>
        <v>307813.96436923166</v>
      </c>
      <c r="O15" s="11"/>
    </row>
    <row r="16" spans="1:18"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O16" s="296" t="s">
        <v>210</v>
      </c>
      <c r="P16" s="618">
        <f>L18</f>
        <v>0.75288146582777138</v>
      </c>
      <c r="Q16" s="619"/>
      <c r="R16" s="620"/>
    </row>
    <row r="17" spans="1:18">
      <c r="A17" s="599" t="s">
        <v>211</v>
      </c>
      <c r="B17" s="600"/>
      <c r="C17" s="600"/>
      <c r="D17" s="600"/>
      <c r="E17" s="600"/>
      <c r="F17" s="600"/>
      <c r="G17" s="601"/>
      <c r="H17" s="504"/>
      <c r="I17" s="504"/>
      <c r="J17" s="504"/>
      <c r="K17" s="504"/>
      <c r="L17" s="505"/>
      <c r="O17" s="298" t="s">
        <v>212</v>
      </c>
      <c r="P17" s="607">
        <f>L19</f>
        <v>0.24711853417222868</v>
      </c>
      <c r="Q17" s="595"/>
      <c r="R17" s="596"/>
    </row>
    <row r="18" spans="1:18">
      <c r="A18" s="297" t="s">
        <v>213</v>
      </c>
      <c r="B18" s="508">
        <f>B6/(B7+B6)</f>
        <v>0.28047637912756873</v>
      </c>
      <c r="C18" s="508">
        <f>C6/(C7+C6)</f>
        <v>0.76135580566812244</v>
      </c>
      <c r="D18" s="508">
        <f t="shared" ref="D18:K18" si="8">D6/(D7+D6)</f>
        <v>0.75272740502700941</v>
      </c>
      <c r="E18" s="508">
        <f t="shared" si="8"/>
        <v>0.75288426593433533</v>
      </c>
      <c r="F18" s="508">
        <f t="shared" si="8"/>
        <v>0.75288141493467697</v>
      </c>
      <c r="G18" s="314">
        <f t="shared" si="8"/>
        <v>0.75288146675277434</v>
      </c>
      <c r="H18" s="259">
        <f t="shared" si="8"/>
        <v>0.75288146581095905</v>
      </c>
      <c r="I18" s="259">
        <f t="shared" si="8"/>
        <v>0.75288146582807691</v>
      </c>
      <c r="J18" s="259">
        <f t="shared" si="8"/>
        <v>0.75288146582776583</v>
      </c>
      <c r="K18" s="259">
        <f t="shared" si="8"/>
        <v>0.75288146582777149</v>
      </c>
      <c r="L18" s="314">
        <f>L6/(L7+L6)</f>
        <v>0.75288146582777138</v>
      </c>
    </row>
    <row r="19" spans="1:18">
      <c r="A19" s="298" t="s">
        <v>212</v>
      </c>
      <c r="B19" s="315">
        <f>B7/(B6+B7)</f>
        <v>0.71952362087243127</v>
      </c>
      <c r="C19" s="315">
        <f t="shared" ref="C19:L19" si="9">C7/(C6+C7)</f>
        <v>0.2386441943318775</v>
      </c>
      <c r="D19" s="315">
        <f t="shared" si="9"/>
        <v>0.24727259497299062</v>
      </c>
      <c r="E19" s="315">
        <f t="shared" si="9"/>
        <v>0.24711573406566462</v>
      </c>
      <c r="F19" s="315">
        <f t="shared" si="9"/>
        <v>0.24711858506532303</v>
      </c>
      <c r="G19" s="304">
        <f t="shared" si="9"/>
        <v>0.24711853324722569</v>
      </c>
      <c r="H19" s="315">
        <f t="shared" si="9"/>
        <v>0.24711853418904089</v>
      </c>
      <c r="I19" s="315">
        <f t="shared" si="9"/>
        <v>0.24711853417192303</v>
      </c>
      <c r="J19" s="315">
        <f t="shared" si="9"/>
        <v>0.2471185341722342</v>
      </c>
      <c r="K19" s="315">
        <f t="shared" si="9"/>
        <v>0.24711853417222848</v>
      </c>
      <c r="L19" s="304">
        <f t="shared" si="9"/>
        <v>0.24711853417222868</v>
      </c>
    </row>
    <row r="20" spans="1:18">
      <c r="A20" s="11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1:18">
      <c r="A21" s="611" t="s">
        <v>214</v>
      </c>
      <c r="B21" s="611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1:18">
      <c r="A22" s="11" t="s">
        <v>215</v>
      </c>
      <c r="B22" s="414">
        <f>'KVM før iterasjon'!C7</f>
        <v>6.2399999999999997E-2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8">
      <c r="A23" s="11" t="s">
        <v>195</v>
      </c>
      <c r="B23" s="414">
        <f>'KVM før iterasjon'!C3</f>
        <v>3.5000000000000003E-2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8">
      <c r="A24" s="125" t="s">
        <v>216</v>
      </c>
      <c r="B24" s="416">
        <f>22%</f>
        <v>0.22</v>
      </c>
    </row>
    <row r="25" spans="1:18">
      <c r="E25" s="1"/>
    </row>
  </sheetData>
  <mergeCells count="17">
    <mergeCell ref="A21:B21"/>
    <mergeCell ref="P12:R12"/>
    <mergeCell ref="P13:R13"/>
    <mergeCell ref="A17:G17"/>
    <mergeCell ref="A1:G1"/>
    <mergeCell ref="P6:R6"/>
    <mergeCell ref="P7:R7"/>
    <mergeCell ref="P8:R8"/>
    <mergeCell ref="P9:R9"/>
    <mergeCell ref="P11:R11"/>
    <mergeCell ref="O2:R2"/>
    <mergeCell ref="P3:R3"/>
    <mergeCell ref="P4:R4"/>
    <mergeCell ref="P5:R5"/>
    <mergeCell ref="P14:R14"/>
    <mergeCell ref="P16:R16"/>
    <mergeCell ref="P17:R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5" ma:contentTypeDescription="Create a new document." ma:contentTypeScope="" ma:versionID="e5af1f2014c132db2c3686bad2ed6450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c71c5fbc782802cf49b779a4856f93c3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6F4744-0621-4111-B5FC-4678549E645C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2.xml><?xml version="1.0" encoding="utf-8"?>
<ds:datastoreItem xmlns:ds="http://schemas.openxmlformats.org/officeDocument/2006/customXml" ds:itemID="{F026154B-740A-41B5-9D3C-39286020A8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FAFC-4348-4CAD-B669-928593CD6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Forecast</vt:lpstr>
      <vt:lpstr>Forecast FCFF</vt:lpstr>
      <vt:lpstr>KVM før iterasjon</vt:lpstr>
      <vt:lpstr>Nøkkeltall konkurrenter</vt:lpstr>
      <vt:lpstr>Lønnsomhetsanalyse</vt:lpstr>
      <vt:lpstr>Likviditetsanalyse</vt:lpstr>
      <vt:lpstr>Vekstanalyse</vt:lpstr>
      <vt:lpstr>Avkastningskrav1</vt:lpstr>
      <vt:lpstr>Iterasjon</vt:lpstr>
      <vt:lpstr>Relativ verdsettelse</vt:lpstr>
      <vt:lpstr>Monte-carlo variabler </vt:lpstr>
      <vt:lpstr>Reformulering </vt:lpstr>
      <vt:lpstr>SWOT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Mikkelsen, Sissel Merete</dc:creator>
  <cp:keywords/>
  <dc:description/>
  <cp:lastModifiedBy>Mikkelsen, Sissel Merete</cp:lastModifiedBy>
  <cp:revision/>
  <dcterms:created xsi:type="dcterms:W3CDTF">2023-01-17T12:37:44Z</dcterms:created>
  <dcterms:modified xsi:type="dcterms:W3CDTF">2023-10-02T06:32:36Z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