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edu-my.sharepoint.com/personal/sissel_m_mikkelsen_bi_no/Documents/Desktop/"/>
    </mc:Choice>
  </mc:AlternateContent>
  <xr:revisionPtr revIDLastSave="0" documentId="8_{156AE7E2-9E7C-4926-880F-0F4BB22D38CD}" xr6:coauthVersionLast="47" xr6:coauthVersionMax="47" xr10:uidLastSave="{00000000-0000-0000-0000-000000000000}"/>
  <bookViews>
    <workbookView xWindow="30612" yWindow="-72" windowWidth="30936" windowHeight="16896" firstSheet="2" activeTab="3" xr2:uid="{752F40BA-0613-4C8F-988E-F5D780ACC95A}"/>
  </bookViews>
  <sheets>
    <sheet name="Income Statement" sheetId="1" r:id="rId1"/>
    <sheet name="Balance Sheet" sheetId="4" r:id="rId2"/>
    <sheet name="Cashflow" sheetId="14" r:id="rId3"/>
    <sheet name="Vekst og lønnsomhet" sheetId="15" r:id="rId4"/>
    <sheet name="Beta" sheetId="16" r:id="rId5"/>
    <sheet name="Multipler" sheetId="17" r:id="rId6"/>
    <sheet name="Fundamental verdsettelse" sheetId="18" r:id="rId7"/>
    <sheet name="Monte Carlo" sheetId="1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5" l="1"/>
  <c r="D6" i="15"/>
  <c r="E6" i="15"/>
  <c r="F6" i="15"/>
  <c r="G6" i="15"/>
  <c r="C7" i="15"/>
  <c r="D7" i="15"/>
  <c r="E7" i="15"/>
  <c r="F7" i="15"/>
  <c r="G7" i="15"/>
  <c r="C8" i="15"/>
  <c r="D8" i="15"/>
  <c r="E8" i="15"/>
  <c r="F8" i="15"/>
  <c r="G8" i="15"/>
  <c r="C9" i="15"/>
  <c r="D9" i="15"/>
  <c r="E9" i="15"/>
  <c r="F9" i="15"/>
  <c r="G9" i="15"/>
  <c r="C10" i="15"/>
  <c r="D10" i="15"/>
  <c r="E10" i="15"/>
  <c r="F10" i="15"/>
  <c r="G10" i="15"/>
  <c r="C5" i="15"/>
  <c r="D5" i="15"/>
  <c r="E5" i="15"/>
  <c r="F5" i="15"/>
  <c r="G5" i="15"/>
  <c r="U41" i="1"/>
  <c r="Q40" i="1"/>
  <c r="Q7" i="1"/>
  <c r="Q8" i="1"/>
  <c r="Q9" i="1"/>
  <c r="Q10" i="1"/>
  <c r="Q11" i="1"/>
  <c r="Q13" i="1"/>
  <c r="Q15" i="1"/>
  <c r="Q16" i="1"/>
  <c r="Q18" i="1"/>
  <c r="Q19" i="1"/>
  <c r="AK13" i="4"/>
  <c r="AK14" i="4"/>
  <c r="AK15" i="4"/>
  <c r="AK16" i="4"/>
  <c r="AK17" i="4"/>
  <c r="AK18" i="4"/>
  <c r="AK19" i="4"/>
  <c r="AK20" i="4"/>
  <c r="AK21" i="4"/>
  <c r="AK42" i="4"/>
  <c r="Q28" i="1"/>
  <c r="Q29" i="1"/>
  <c r="Q21" i="1"/>
  <c r="Q22" i="1"/>
  <c r="Q23" i="1"/>
  <c r="D25" i="18"/>
  <c r="AE6" i="1"/>
  <c r="AE24" i="1"/>
  <c r="D28" i="18"/>
  <c r="D30" i="18"/>
  <c r="D6" i="18"/>
  <c r="Q23" i="15"/>
  <c r="Q47" i="15"/>
  <c r="T21" i="15"/>
  <c r="T27" i="15"/>
  <c r="T9" i="15"/>
  <c r="T10" i="15"/>
  <c r="T28" i="15"/>
  <c r="T29" i="15"/>
  <c r="Q31" i="15"/>
  <c r="Q48" i="15"/>
  <c r="M67" i="15"/>
  <c r="L67" i="15"/>
  <c r="M68" i="15"/>
  <c r="N68" i="15"/>
  <c r="O68" i="15"/>
  <c r="P68" i="15"/>
  <c r="Q68" i="15"/>
  <c r="R68" i="15"/>
  <c r="L69" i="15"/>
  <c r="Q49" i="15"/>
  <c r="Q50" i="15"/>
  <c r="Q51" i="15"/>
  <c r="Q44" i="15"/>
  <c r="Q35" i="15"/>
  <c r="Q34" i="15"/>
  <c r="Q36" i="15"/>
  <c r="T5" i="15"/>
  <c r="T11" i="15"/>
  <c r="Q30" i="15"/>
  <c r="Q37" i="15"/>
  <c r="D7" i="18"/>
  <c r="D9" i="18"/>
  <c r="R40" i="1"/>
  <c r="R7" i="1"/>
  <c r="R8" i="1"/>
  <c r="R9" i="1"/>
  <c r="R10" i="1"/>
  <c r="R11" i="1"/>
  <c r="R13" i="1"/>
  <c r="R15" i="1"/>
  <c r="R16" i="1"/>
  <c r="R18" i="1"/>
  <c r="R19" i="1"/>
  <c r="AL13" i="4"/>
  <c r="AL14" i="4"/>
  <c r="AL15" i="4"/>
  <c r="AL16" i="4"/>
  <c r="AL17" i="4"/>
  <c r="AL18" i="4"/>
  <c r="AL19" i="4"/>
  <c r="AL20" i="4"/>
  <c r="AL21" i="4"/>
  <c r="AL42" i="4"/>
  <c r="R28" i="1"/>
  <c r="R29" i="1"/>
  <c r="R21" i="1"/>
  <c r="R22" i="1"/>
  <c r="R23" i="1"/>
  <c r="E25" i="18"/>
  <c r="AF6" i="1"/>
  <c r="AF24" i="1"/>
  <c r="E28" i="18"/>
  <c r="E30" i="18"/>
  <c r="E6" i="18"/>
  <c r="E7" i="18"/>
  <c r="E9" i="18"/>
  <c r="S40" i="1"/>
  <c r="S7" i="1"/>
  <c r="S8" i="1"/>
  <c r="S9" i="1"/>
  <c r="S10" i="1"/>
  <c r="S11" i="1"/>
  <c r="S13" i="1"/>
  <c r="S15" i="1"/>
  <c r="S16" i="1"/>
  <c r="S18" i="1"/>
  <c r="S19" i="1"/>
  <c r="AM13" i="4"/>
  <c r="AM14" i="4"/>
  <c r="AM15" i="4"/>
  <c r="AM16" i="4"/>
  <c r="AM17" i="4"/>
  <c r="AM18" i="4"/>
  <c r="AM19" i="4"/>
  <c r="AM20" i="4"/>
  <c r="AM21" i="4"/>
  <c r="AM42" i="4"/>
  <c r="S28" i="1"/>
  <c r="S29" i="1"/>
  <c r="S21" i="1"/>
  <c r="S22" i="1"/>
  <c r="S23" i="1"/>
  <c r="F25" i="18"/>
  <c r="AG6" i="1"/>
  <c r="AG24" i="1"/>
  <c r="F28" i="18"/>
  <c r="F30" i="18"/>
  <c r="F6" i="18"/>
  <c r="F7" i="18"/>
  <c r="F9" i="18"/>
  <c r="T40" i="1"/>
  <c r="T7" i="1"/>
  <c r="T8" i="1"/>
  <c r="T9" i="1"/>
  <c r="T10" i="1"/>
  <c r="T11" i="1"/>
  <c r="T13" i="1"/>
  <c r="T15" i="1"/>
  <c r="T16" i="1"/>
  <c r="T18" i="1"/>
  <c r="T19" i="1"/>
  <c r="AN13" i="4"/>
  <c r="AN14" i="4"/>
  <c r="AN15" i="4"/>
  <c r="AN16" i="4"/>
  <c r="AN17" i="4"/>
  <c r="AN18" i="4"/>
  <c r="AN19" i="4"/>
  <c r="AN20" i="4"/>
  <c r="AN21" i="4"/>
  <c r="AN42" i="4"/>
  <c r="T28" i="1"/>
  <c r="T29" i="1"/>
  <c r="T21" i="1"/>
  <c r="T22" i="1"/>
  <c r="T23" i="1"/>
  <c r="G25" i="18"/>
  <c r="AH6" i="1"/>
  <c r="AH24" i="1"/>
  <c r="G28" i="18"/>
  <c r="G30" i="18"/>
  <c r="G6" i="18"/>
  <c r="G7" i="18"/>
  <c r="G9" i="18"/>
  <c r="D12" i="18"/>
  <c r="H6" i="18"/>
  <c r="H7" i="18"/>
  <c r="G8" i="18"/>
  <c r="D13" i="18"/>
  <c r="D14" i="18"/>
  <c r="D16" i="18"/>
  <c r="D17" i="18"/>
  <c r="D18" i="18"/>
  <c r="F10" i="19"/>
  <c r="C27" i="17"/>
  <c r="C13" i="17"/>
  <c r="J3" i="17"/>
  <c r="J5" i="17"/>
  <c r="J7" i="17"/>
  <c r="J8" i="17"/>
  <c r="J9" i="17"/>
  <c r="J10" i="17"/>
  <c r="J11" i="17"/>
  <c r="F7" i="19"/>
  <c r="J21" i="17"/>
  <c r="J23" i="17"/>
  <c r="J24" i="17"/>
  <c r="J25" i="17"/>
  <c r="J26" i="17"/>
  <c r="J27" i="17"/>
  <c r="F8" i="19"/>
  <c r="F9" i="19"/>
  <c r="F11" i="19"/>
  <c r="F6" i="19"/>
  <c r="P47" i="1"/>
  <c r="Q47" i="1"/>
  <c r="R47" i="1"/>
  <c r="S47" i="1"/>
  <c r="T47" i="1"/>
  <c r="P49" i="1"/>
  <c r="Q49" i="1"/>
  <c r="R49" i="1"/>
  <c r="S49" i="1"/>
  <c r="T49" i="1"/>
  <c r="P50" i="1"/>
  <c r="Q50" i="1"/>
  <c r="R48" i="1"/>
  <c r="R50" i="1"/>
  <c r="S48" i="1"/>
  <c r="S50" i="1"/>
  <c r="T48" i="1"/>
  <c r="T50" i="1"/>
  <c r="P51" i="1"/>
  <c r="Q51" i="1"/>
  <c r="R51" i="1"/>
  <c r="S51" i="1"/>
  <c r="T51" i="1"/>
  <c r="Q58" i="1"/>
  <c r="Q59" i="1"/>
  <c r="Q60" i="1"/>
  <c r="Q63" i="1"/>
  <c r="Q64" i="1"/>
  <c r="AS6" i="4"/>
  <c r="AR6" i="4"/>
  <c r="AS7" i="4"/>
  <c r="AT6" i="4"/>
  <c r="AT7" i="4"/>
  <c r="AU6" i="4"/>
  <c r="AU7" i="4"/>
  <c r="AV6" i="4"/>
  <c r="AV7" i="4"/>
  <c r="AW6" i="4"/>
  <c r="AW7" i="4"/>
  <c r="AX7" i="4"/>
  <c r="AK9" i="4"/>
  <c r="Q17" i="1"/>
  <c r="R58" i="1"/>
  <c r="R59" i="1"/>
  <c r="R60" i="1"/>
  <c r="R63" i="1"/>
  <c r="R64" i="1"/>
  <c r="AY7" i="4"/>
  <c r="AL9" i="4"/>
  <c r="R17" i="1"/>
  <c r="S58" i="1"/>
  <c r="S59" i="1"/>
  <c r="S60" i="1"/>
  <c r="S63" i="1"/>
  <c r="S64" i="1"/>
  <c r="AZ7" i="4"/>
  <c r="AM9" i="4"/>
  <c r="S17" i="1"/>
  <c r="T58" i="1"/>
  <c r="T59" i="1"/>
  <c r="T60" i="1"/>
  <c r="T63" i="1"/>
  <c r="T64" i="1"/>
  <c r="BA7" i="4"/>
  <c r="AN9" i="4"/>
  <c r="T17" i="1"/>
  <c r="Q65" i="1"/>
  <c r="E24" i="18"/>
  <c r="F24" i="18"/>
  <c r="G24" i="18"/>
  <c r="D24" i="18"/>
  <c r="Q66" i="1"/>
  <c r="AK12" i="4"/>
  <c r="AR8" i="4"/>
  <c r="AS8" i="4"/>
  <c r="AT8" i="4"/>
  <c r="AU8" i="4"/>
  <c r="AV8" i="4"/>
  <c r="AW8" i="4"/>
  <c r="AX8" i="4"/>
  <c r="AR9" i="4"/>
  <c r="AS9" i="4"/>
  <c r="AT9" i="4"/>
  <c r="AU9" i="4"/>
  <c r="AV9" i="4"/>
  <c r="AW9" i="4"/>
  <c r="AX9" i="4"/>
  <c r="AR10" i="4"/>
  <c r="AS10" i="4"/>
  <c r="AT10" i="4"/>
  <c r="AU10" i="4"/>
  <c r="AV10" i="4"/>
  <c r="AW10" i="4"/>
  <c r="AX10" i="4"/>
  <c r="AR11" i="4"/>
  <c r="AS11" i="4"/>
  <c r="AT11" i="4"/>
  <c r="AU11" i="4"/>
  <c r="AV11" i="4"/>
  <c r="AW11" i="4"/>
  <c r="AX11" i="4"/>
  <c r="AR12" i="4"/>
  <c r="AS12" i="4"/>
  <c r="AT12" i="4"/>
  <c r="AU12" i="4"/>
  <c r="AV12" i="4"/>
  <c r="AW12" i="4"/>
  <c r="AX12" i="4"/>
  <c r="AR13" i="4"/>
  <c r="AS13" i="4"/>
  <c r="AT13" i="4"/>
  <c r="AU13" i="4"/>
  <c r="AV13" i="4"/>
  <c r="AW13" i="4"/>
  <c r="AX13" i="4"/>
  <c r="AR14" i="4"/>
  <c r="AS14" i="4"/>
  <c r="AT14" i="4"/>
  <c r="AU14" i="4"/>
  <c r="AV14" i="4"/>
  <c r="AW14" i="4"/>
  <c r="AX14" i="4"/>
  <c r="AE22" i="1"/>
  <c r="D26" i="18"/>
  <c r="D27" i="18"/>
  <c r="AE4" i="1"/>
  <c r="AE25" i="1"/>
  <c r="D29" i="18"/>
  <c r="Q14" i="16"/>
  <c r="P14" i="16"/>
  <c r="R14" i="16"/>
  <c r="S14" i="16"/>
  <c r="L27" i="16"/>
  <c r="L28" i="16"/>
  <c r="L26" i="16"/>
  <c r="L29" i="16"/>
  <c r="K72" i="16"/>
  <c r="R65" i="1"/>
  <c r="R66" i="1"/>
  <c r="AL12" i="4"/>
  <c r="AY8" i="4"/>
  <c r="AY9" i="4"/>
  <c r="AY10" i="4"/>
  <c r="AY11" i="4"/>
  <c r="AY12" i="4"/>
  <c r="AY13" i="4"/>
  <c r="AY14" i="4"/>
  <c r="AF22" i="1"/>
  <c r="E26" i="18"/>
  <c r="E27" i="18"/>
  <c r="AF4" i="1"/>
  <c r="AF25" i="1"/>
  <c r="E29" i="18"/>
  <c r="S65" i="1"/>
  <c r="S66" i="1"/>
  <c r="AM12" i="4"/>
  <c r="AZ8" i="4"/>
  <c r="AZ9" i="4"/>
  <c r="AZ10" i="4"/>
  <c r="AZ11" i="4"/>
  <c r="AZ12" i="4"/>
  <c r="AZ13" i="4"/>
  <c r="AZ14" i="4"/>
  <c r="AG22" i="1"/>
  <c r="F26" i="18"/>
  <c r="F27" i="18"/>
  <c r="AG4" i="1"/>
  <c r="AG25" i="1"/>
  <c r="F29" i="18"/>
  <c r="T65" i="1"/>
  <c r="T66" i="1"/>
  <c r="AN12" i="4"/>
  <c r="BA8" i="4"/>
  <c r="BA9" i="4"/>
  <c r="BA10" i="4"/>
  <c r="BA11" i="4"/>
  <c r="BA12" i="4"/>
  <c r="BA13" i="4"/>
  <c r="BA14" i="4"/>
  <c r="AH22" i="1"/>
  <c r="G26" i="18"/>
  <c r="G27" i="18"/>
  <c r="AH4" i="1"/>
  <c r="AH25" i="1"/>
  <c r="G29" i="18"/>
  <c r="D15" i="18"/>
  <c r="E8" i="18"/>
  <c r="F8" i="18"/>
  <c r="D8" i="18"/>
  <c r="AF51" i="4"/>
  <c r="AG51" i="4"/>
  <c r="AH51" i="4"/>
  <c r="AI51" i="4"/>
  <c r="AJ51" i="4"/>
  <c r="AF52" i="4"/>
  <c r="AG52" i="4"/>
  <c r="AH52" i="4"/>
  <c r="AI52" i="4"/>
  <c r="AJ52" i="4"/>
  <c r="AF53" i="4"/>
  <c r="AG53" i="4"/>
  <c r="AH53" i="4"/>
  <c r="AI53" i="4"/>
  <c r="AJ53" i="4"/>
  <c r="AF55" i="4"/>
  <c r="AG55" i="4"/>
  <c r="AH55" i="4"/>
  <c r="AI55" i="4"/>
  <c r="AJ55" i="4"/>
  <c r="AF56" i="4"/>
  <c r="AG56" i="4"/>
  <c r="AH56" i="4"/>
  <c r="AI56" i="4"/>
  <c r="AJ56" i="4"/>
  <c r="AF57" i="4"/>
  <c r="AG57" i="4"/>
  <c r="AH57" i="4"/>
  <c r="AI57" i="4"/>
  <c r="AJ57" i="4"/>
  <c r="AE57" i="4"/>
  <c r="AE56" i="4"/>
  <c r="AE55" i="4"/>
  <c r="AE53" i="4"/>
  <c r="AE52" i="4"/>
  <c r="AE51" i="4"/>
  <c r="P55" i="4"/>
  <c r="Q55" i="4"/>
  <c r="R55" i="4"/>
  <c r="S55" i="4"/>
  <c r="T55" i="4"/>
  <c r="P56" i="4"/>
  <c r="Q56" i="4"/>
  <c r="R56" i="4"/>
  <c r="S56" i="4"/>
  <c r="T56" i="4"/>
  <c r="P57" i="4"/>
  <c r="Q57" i="4"/>
  <c r="R57" i="4"/>
  <c r="S57" i="4"/>
  <c r="T57" i="4"/>
  <c r="P59" i="4"/>
  <c r="Q59" i="4"/>
  <c r="R59" i="4"/>
  <c r="S59" i="4"/>
  <c r="T59" i="4"/>
  <c r="P60" i="4"/>
  <c r="Q60" i="4"/>
  <c r="R60" i="4"/>
  <c r="S60" i="4"/>
  <c r="T60" i="4"/>
  <c r="P61" i="4"/>
  <c r="Q61" i="4"/>
  <c r="R61" i="4"/>
  <c r="S61" i="4"/>
  <c r="T61" i="4"/>
  <c r="P62" i="4"/>
  <c r="Q62" i="4"/>
  <c r="R62" i="4"/>
  <c r="S62" i="4"/>
  <c r="T62" i="4"/>
  <c r="O62" i="4"/>
  <c r="O61" i="4"/>
  <c r="O60" i="4"/>
  <c r="O59" i="4"/>
  <c r="O57" i="4"/>
  <c r="O56" i="4"/>
  <c r="O55" i="4"/>
  <c r="P15" i="1"/>
  <c r="F12" i="19"/>
  <c r="C5" i="17"/>
  <c r="D5" i="17"/>
  <c r="E5" i="17"/>
  <c r="F5" i="17"/>
  <c r="C6" i="17"/>
  <c r="C7" i="17"/>
  <c r="F5" i="19"/>
  <c r="C14" i="17"/>
  <c r="C15" i="17"/>
  <c r="D13" i="17"/>
  <c r="D14" i="17"/>
  <c r="D15" i="17"/>
  <c r="E13" i="17"/>
  <c r="E14" i="17"/>
  <c r="E15" i="17"/>
  <c r="F13" i="17"/>
  <c r="F14" i="17"/>
  <c r="F15" i="17"/>
  <c r="C17" i="17"/>
  <c r="C19" i="17"/>
  <c r="C22" i="17"/>
  <c r="K3" i="17"/>
  <c r="K5" i="17"/>
  <c r="K7" i="17"/>
  <c r="L3" i="17"/>
  <c r="L5" i="17"/>
  <c r="L7" i="17"/>
  <c r="M3" i="17"/>
  <c r="M5" i="17"/>
  <c r="M7" i="17"/>
  <c r="J4" i="17"/>
  <c r="J6" i="17"/>
  <c r="K21" i="17"/>
  <c r="K23" i="17"/>
  <c r="L21" i="17"/>
  <c r="L23" i="17"/>
  <c r="M21" i="17"/>
  <c r="M23" i="17"/>
  <c r="J22" i="17"/>
  <c r="J20" i="17"/>
  <c r="K64" i="1"/>
  <c r="L64" i="1"/>
  <c r="M64" i="1"/>
  <c r="N64" i="1"/>
  <c r="O64" i="1"/>
  <c r="P64" i="1"/>
  <c r="Y8" i="1"/>
  <c r="K66" i="1"/>
  <c r="Z8" i="1"/>
  <c r="L66" i="1"/>
  <c r="AA8" i="1"/>
  <c r="M66" i="1"/>
  <c r="AB8" i="1"/>
  <c r="N66" i="1"/>
  <c r="AC8" i="1"/>
  <c r="O66" i="1"/>
  <c r="AD8" i="1"/>
  <c r="P66" i="1"/>
  <c r="AD6" i="1"/>
  <c r="AD4" i="1"/>
  <c r="C3681" i="19"/>
  <c r="C3680" i="19"/>
  <c r="C3679" i="19"/>
  <c r="C3678" i="19"/>
  <c r="C3677" i="19"/>
  <c r="C3676" i="19"/>
  <c r="C3675" i="19"/>
  <c r="C3674" i="19"/>
  <c r="C3673" i="19"/>
  <c r="C3672" i="19"/>
  <c r="C3671" i="19"/>
  <c r="C3670" i="19"/>
  <c r="C3669" i="19"/>
  <c r="C3668" i="19"/>
  <c r="C3667" i="19"/>
  <c r="C3666" i="19"/>
  <c r="C3665" i="19"/>
  <c r="C3664" i="19"/>
  <c r="C3663" i="19"/>
  <c r="C3662" i="19"/>
  <c r="C3661" i="19"/>
  <c r="C3660" i="19"/>
  <c r="C3659" i="19"/>
  <c r="C3658" i="19"/>
  <c r="C3657" i="19"/>
  <c r="C3656" i="19"/>
  <c r="C3655" i="19"/>
  <c r="C3654" i="19"/>
  <c r="C3653" i="19"/>
  <c r="C3652" i="19"/>
  <c r="C3651" i="19"/>
  <c r="C3650" i="19"/>
  <c r="C3649" i="19"/>
  <c r="C3648" i="19"/>
  <c r="C3647" i="19"/>
  <c r="C3646" i="19"/>
  <c r="C3645" i="19"/>
  <c r="C3644" i="19"/>
  <c r="C3643" i="19"/>
  <c r="C3642" i="19"/>
  <c r="C3641" i="19"/>
  <c r="C3640" i="19"/>
  <c r="C3639" i="19"/>
  <c r="C3638" i="19"/>
  <c r="C3637" i="19"/>
  <c r="C3636" i="19"/>
  <c r="C3635" i="19"/>
  <c r="C3634" i="19"/>
  <c r="C3633" i="19"/>
  <c r="C3632" i="19"/>
  <c r="C3631" i="19"/>
  <c r="C3630" i="19"/>
  <c r="C3629" i="19"/>
  <c r="C3628" i="19"/>
  <c r="C3627" i="19"/>
  <c r="C3626" i="19"/>
  <c r="C3625" i="19"/>
  <c r="C3624" i="19"/>
  <c r="C3623" i="19"/>
  <c r="C3622" i="19"/>
  <c r="C3621" i="19"/>
  <c r="C3620" i="19"/>
  <c r="C3619" i="19"/>
  <c r="C3618" i="19"/>
  <c r="C3617" i="19"/>
  <c r="C3616" i="19"/>
  <c r="C3615" i="19"/>
  <c r="C3614" i="19"/>
  <c r="C3613" i="19"/>
  <c r="C3612" i="19"/>
  <c r="C3611" i="19"/>
  <c r="C3610" i="19"/>
  <c r="C3609" i="19"/>
  <c r="C3608" i="19"/>
  <c r="C3607" i="19"/>
  <c r="C3606" i="19"/>
  <c r="C3605" i="19"/>
  <c r="C3604" i="19"/>
  <c r="C3603" i="19"/>
  <c r="C3602" i="19"/>
  <c r="C3601" i="19"/>
  <c r="C3600" i="19"/>
  <c r="C3599" i="19"/>
  <c r="C3598" i="19"/>
  <c r="C3597" i="19"/>
  <c r="C3596" i="19"/>
  <c r="C3595" i="19"/>
  <c r="C3594" i="19"/>
  <c r="C3593" i="19"/>
  <c r="C3592" i="19"/>
  <c r="C3591" i="19"/>
  <c r="C3590" i="19"/>
  <c r="C3589" i="19"/>
  <c r="C3588" i="19"/>
  <c r="C3587" i="19"/>
  <c r="C3586" i="19"/>
  <c r="C3585" i="19"/>
  <c r="C3584" i="19"/>
  <c r="C3583" i="19"/>
  <c r="C3582" i="19"/>
  <c r="C3581" i="19"/>
  <c r="C3580" i="19"/>
  <c r="C3579" i="19"/>
  <c r="C3578" i="19"/>
  <c r="C3577" i="19"/>
  <c r="C3576" i="19"/>
  <c r="C3575" i="19"/>
  <c r="C3574" i="19"/>
  <c r="C3573" i="19"/>
  <c r="C3572" i="19"/>
  <c r="C3571" i="19"/>
  <c r="C3570" i="19"/>
  <c r="C3569" i="19"/>
  <c r="C3568" i="19"/>
  <c r="C3567" i="19"/>
  <c r="C3566" i="19"/>
  <c r="C3565" i="19"/>
  <c r="C3564" i="19"/>
  <c r="C3563" i="19"/>
  <c r="C3562" i="19"/>
  <c r="C3561" i="19"/>
  <c r="C3560" i="19"/>
  <c r="C3559" i="19"/>
  <c r="C3558" i="19"/>
  <c r="C3557" i="19"/>
  <c r="C3556" i="19"/>
  <c r="C3555" i="19"/>
  <c r="C3554" i="19"/>
  <c r="C3553" i="19"/>
  <c r="C3552" i="19"/>
  <c r="C3551" i="19"/>
  <c r="C3550" i="19"/>
  <c r="C3549" i="19"/>
  <c r="C3548" i="19"/>
  <c r="C3547" i="19"/>
  <c r="C3546" i="19"/>
  <c r="C3545" i="19"/>
  <c r="C3544" i="19"/>
  <c r="C3543" i="19"/>
  <c r="C3542" i="19"/>
  <c r="C3541" i="19"/>
  <c r="C3540" i="19"/>
  <c r="C3539" i="19"/>
  <c r="C3538" i="19"/>
  <c r="C3537" i="19"/>
  <c r="C3536" i="19"/>
  <c r="C3535" i="19"/>
  <c r="C3534" i="19"/>
  <c r="C3533" i="19"/>
  <c r="C3532" i="19"/>
  <c r="C3531" i="19"/>
  <c r="C3530" i="19"/>
  <c r="C3529" i="19"/>
  <c r="C3528" i="19"/>
  <c r="C3527" i="19"/>
  <c r="C3526" i="19"/>
  <c r="C3525" i="19"/>
  <c r="C3524" i="19"/>
  <c r="C3523" i="19"/>
  <c r="C3522" i="19"/>
  <c r="C3521" i="19"/>
  <c r="C3520" i="19"/>
  <c r="C3519" i="19"/>
  <c r="C3518" i="19"/>
  <c r="C3517" i="19"/>
  <c r="C3516" i="19"/>
  <c r="C3515" i="19"/>
  <c r="C3514" i="19"/>
  <c r="C3513" i="19"/>
  <c r="C3512" i="19"/>
  <c r="C3511" i="19"/>
  <c r="C3510" i="19"/>
  <c r="C3509" i="19"/>
  <c r="C3508" i="19"/>
  <c r="C3507" i="19"/>
  <c r="C3506" i="19"/>
  <c r="C3505" i="19"/>
  <c r="C3504" i="19"/>
  <c r="C3503" i="19"/>
  <c r="C3502" i="19"/>
  <c r="C3501" i="19"/>
  <c r="C3500" i="19"/>
  <c r="C3499" i="19"/>
  <c r="C3498" i="19"/>
  <c r="C3497" i="19"/>
  <c r="C3496" i="19"/>
  <c r="C3495" i="19"/>
  <c r="C3494" i="19"/>
  <c r="C3493" i="19"/>
  <c r="C3492" i="19"/>
  <c r="C3491" i="19"/>
  <c r="C3490" i="19"/>
  <c r="C3489" i="19"/>
  <c r="C3488" i="19"/>
  <c r="C3487" i="19"/>
  <c r="C3486" i="19"/>
  <c r="C3485" i="19"/>
  <c r="C3484" i="19"/>
  <c r="C3483" i="19"/>
  <c r="C3482" i="19"/>
  <c r="C3481" i="19"/>
  <c r="C3480" i="19"/>
  <c r="C3479" i="19"/>
  <c r="C3478" i="19"/>
  <c r="C3477" i="19"/>
  <c r="C3476" i="19"/>
  <c r="C3475" i="19"/>
  <c r="C3474" i="19"/>
  <c r="C3473" i="19"/>
  <c r="C3472" i="19"/>
  <c r="C3471" i="19"/>
  <c r="C3470" i="19"/>
  <c r="C3469" i="19"/>
  <c r="C3468" i="19"/>
  <c r="C3467" i="19"/>
  <c r="C3466" i="19"/>
  <c r="C3465" i="19"/>
  <c r="C3464" i="19"/>
  <c r="C3463" i="19"/>
  <c r="C3462" i="19"/>
  <c r="C3461" i="19"/>
  <c r="C3460" i="19"/>
  <c r="C3459" i="19"/>
  <c r="C3458" i="19"/>
  <c r="C3457" i="19"/>
  <c r="C3456" i="19"/>
  <c r="C3455" i="19"/>
  <c r="C3454" i="19"/>
  <c r="C3453" i="19"/>
  <c r="C3452" i="19"/>
  <c r="C3451" i="19"/>
  <c r="C3450" i="19"/>
  <c r="C3449" i="19"/>
  <c r="C3448" i="19"/>
  <c r="C3447" i="19"/>
  <c r="C3446" i="19"/>
  <c r="C3445" i="19"/>
  <c r="C3444" i="19"/>
  <c r="C3443" i="19"/>
  <c r="C3442" i="19"/>
  <c r="C3441" i="19"/>
  <c r="C3440" i="19"/>
  <c r="C3439" i="19"/>
  <c r="C3438" i="19"/>
  <c r="C3437" i="19"/>
  <c r="C3436" i="19"/>
  <c r="C3435" i="19"/>
  <c r="C3434" i="19"/>
  <c r="C3433" i="19"/>
  <c r="C3432" i="19"/>
  <c r="C3431" i="19"/>
  <c r="C3430" i="19"/>
  <c r="C3429" i="19"/>
  <c r="C3428" i="19"/>
  <c r="C3427" i="19"/>
  <c r="C3426" i="19"/>
  <c r="C3425" i="19"/>
  <c r="C3424" i="19"/>
  <c r="C3423" i="19"/>
  <c r="C3422" i="19"/>
  <c r="C3421" i="19"/>
  <c r="C3420" i="19"/>
  <c r="C3419" i="19"/>
  <c r="C3418" i="19"/>
  <c r="C3417" i="19"/>
  <c r="C3416" i="19"/>
  <c r="C3415" i="19"/>
  <c r="C3414" i="19"/>
  <c r="C3413" i="19"/>
  <c r="C3412" i="19"/>
  <c r="C3411" i="19"/>
  <c r="C3410" i="19"/>
  <c r="C3409" i="19"/>
  <c r="C3408" i="19"/>
  <c r="C3407" i="19"/>
  <c r="C3406" i="19"/>
  <c r="C3405" i="19"/>
  <c r="C3404" i="19"/>
  <c r="C3403" i="19"/>
  <c r="C3402" i="19"/>
  <c r="C3401" i="19"/>
  <c r="C3400" i="19"/>
  <c r="C3399" i="19"/>
  <c r="C3398" i="19"/>
  <c r="C3397" i="19"/>
  <c r="C3396" i="19"/>
  <c r="C3395" i="19"/>
  <c r="C3394" i="19"/>
  <c r="C3393" i="19"/>
  <c r="C3392" i="19"/>
  <c r="C3391" i="19"/>
  <c r="C3390" i="19"/>
  <c r="C3389" i="19"/>
  <c r="C3388" i="19"/>
  <c r="C3387" i="19"/>
  <c r="C3386" i="19"/>
  <c r="C3385" i="19"/>
  <c r="C3384" i="19"/>
  <c r="C3383" i="19"/>
  <c r="C3382" i="19"/>
  <c r="C3381" i="19"/>
  <c r="C3380" i="19"/>
  <c r="C3379" i="19"/>
  <c r="C3378" i="19"/>
  <c r="C3377" i="19"/>
  <c r="C3376" i="19"/>
  <c r="C3375" i="19"/>
  <c r="C3374" i="19"/>
  <c r="C3373" i="19"/>
  <c r="C3372" i="19"/>
  <c r="C3371" i="19"/>
  <c r="C3370" i="19"/>
  <c r="C3369" i="19"/>
  <c r="C3368" i="19"/>
  <c r="C3367" i="19"/>
  <c r="C3366" i="19"/>
  <c r="C3365" i="19"/>
  <c r="C3364" i="19"/>
  <c r="C3363" i="19"/>
  <c r="C3362" i="19"/>
  <c r="C3361" i="19"/>
  <c r="C3360" i="19"/>
  <c r="C3359" i="19"/>
  <c r="C3358" i="19"/>
  <c r="C3357" i="19"/>
  <c r="C3356" i="19"/>
  <c r="C3355" i="19"/>
  <c r="C3354" i="19"/>
  <c r="C3353" i="19"/>
  <c r="C3352" i="19"/>
  <c r="C3351" i="19"/>
  <c r="C3350" i="19"/>
  <c r="C3349" i="19"/>
  <c r="C3348" i="19"/>
  <c r="C3347" i="19"/>
  <c r="C3346" i="19"/>
  <c r="C3345" i="19"/>
  <c r="C3344" i="19"/>
  <c r="C3343" i="19"/>
  <c r="C3342" i="19"/>
  <c r="C3341" i="19"/>
  <c r="C3340" i="19"/>
  <c r="C3339" i="19"/>
  <c r="C3338" i="19"/>
  <c r="C3337" i="19"/>
  <c r="C3336" i="19"/>
  <c r="C3335" i="19"/>
  <c r="C3334" i="19"/>
  <c r="C3333" i="19"/>
  <c r="C3332" i="19"/>
  <c r="C3331" i="19"/>
  <c r="C3330" i="19"/>
  <c r="C3329" i="19"/>
  <c r="C3328" i="19"/>
  <c r="C3327" i="19"/>
  <c r="C3326" i="19"/>
  <c r="C3325" i="19"/>
  <c r="C3324" i="19"/>
  <c r="C3323" i="19"/>
  <c r="C3322" i="19"/>
  <c r="C3321" i="19"/>
  <c r="C3320" i="19"/>
  <c r="C3319" i="19"/>
  <c r="C3318" i="19"/>
  <c r="C3317" i="19"/>
  <c r="C3316" i="19"/>
  <c r="C3315" i="19"/>
  <c r="C3314" i="19"/>
  <c r="C3313" i="19"/>
  <c r="C3312" i="19"/>
  <c r="C3311" i="19"/>
  <c r="C3310" i="19"/>
  <c r="C3309" i="19"/>
  <c r="C3308" i="19"/>
  <c r="C3307" i="19"/>
  <c r="C3306" i="19"/>
  <c r="C3305" i="19"/>
  <c r="C3304" i="19"/>
  <c r="C3303" i="19"/>
  <c r="C3302" i="19"/>
  <c r="C3301" i="19"/>
  <c r="C3300" i="19"/>
  <c r="C3299" i="19"/>
  <c r="C3298" i="19"/>
  <c r="C3297" i="19"/>
  <c r="C3296" i="19"/>
  <c r="C3295" i="19"/>
  <c r="C3294" i="19"/>
  <c r="C3293" i="19"/>
  <c r="C3292" i="19"/>
  <c r="C3291" i="19"/>
  <c r="C3290" i="19"/>
  <c r="C3289" i="19"/>
  <c r="C3288" i="19"/>
  <c r="C3287" i="19"/>
  <c r="C3286" i="19"/>
  <c r="C3285" i="19"/>
  <c r="C3284" i="19"/>
  <c r="C3283" i="19"/>
  <c r="C3282" i="19"/>
  <c r="C3281" i="19"/>
  <c r="C3280" i="19"/>
  <c r="C3279" i="19"/>
  <c r="C3278" i="19"/>
  <c r="C3277" i="19"/>
  <c r="C3276" i="19"/>
  <c r="C3275" i="19"/>
  <c r="C3274" i="19"/>
  <c r="C3273" i="19"/>
  <c r="C3272" i="19"/>
  <c r="C3271" i="19"/>
  <c r="C3270" i="19"/>
  <c r="C3269" i="19"/>
  <c r="C3268" i="19"/>
  <c r="C3267" i="19"/>
  <c r="C3266" i="19"/>
  <c r="C3265" i="19"/>
  <c r="C3264" i="19"/>
  <c r="C3263" i="19"/>
  <c r="C3262" i="19"/>
  <c r="C3261" i="19"/>
  <c r="C3260" i="19"/>
  <c r="C3259" i="19"/>
  <c r="C3258" i="19"/>
  <c r="C3257" i="19"/>
  <c r="C3256" i="19"/>
  <c r="C3255" i="19"/>
  <c r="C3254" i="19"/>
  <c r="C3253" i="19"/>
  <c r="C3252" i="19"/>
  <c r="C3251" i="19"/>
  <c r="C3250" i="19"/>
  <c r="C3249" i="19"/>
  <c r="C3248" i="19"/>
  <c r="C3247" i="19"/>
  <c r="C3246" i="19"/>
  <c r="C3245" i="19"/>
  <c r="C3244" i="19"/>
  <c r="C3243" i="19"/>
  <c r="C3242" i="19"/>
  <c r="C3241" i="19"/>
  <c r="C3240" i="19"/>
  <c r="C3239" i="19"/>
  <c r="C3238" i="19"/>
  <c r="C3237" i="19"/>
  <c r="C3236" i="19"/>
  <c r="C3235" i="19"/>
  <c r="C3234" i="19"/>
  <c r="C3233" i="19"/>
  <c r="C3232" i="19"/>
  <c r="C3231" i="19"/>
  <c r="C3230" i="19"/>
  <c r="C3229" i="19"/>
  <c r="C3228" i="19"/>
  <c r="C3227" i="19"/>
  <c r="C3226" i="19"/>
  <c r="C3225" i="19"/>
  <c r="C3224" i="19"/>
  <c r="C3223" i="19"/>
  <c r="C3222" i="19"/>
  <c r="C3221" i="19"/>
  <c r="C3220" i="19"/>
  <c r="C3219" i="19"/>
  <c r="C3218" i="19"/>
  <c r="C3217" i="19"/>
  <c r="C3216" i="19"/>
  <c r="C3215" i="19"/>
  <c r="C3214" i="19"/>
  <c r="C3213" i="19"/>
  <c r="C3212" i="19"/>
  <c r="C3211" i="19"/>
  <c r="C3210" i="19"/>
  <c r="C3209" i="19"/>
  <c r="C3208" i="19"/>
  <c r="C3207" i="19"/>
  <c r="C3206" i="19"/>
  <c r="C3205" i="19"/>
  <c r="C3204" i="19"/>
  <c r="C3203" i="19"/>
  <c r="C3202" i="19"/>
  <c r="C3201" i="19"/>
  <c r="C3200" i="19"/>
  <c r="C3199" i="19"/>
  <c r="C3198" i="19"/>
  <c r="C3197" i="19"/>
  <c r="C3196" i="19"/>
  <c r="C3195" i="19"/>
  <c r="C3194" i="19"/>
  <c r="C3193" i="19"/>
  <c r="C3192" i="19"/>
  <c r="C3191" i="19"/>
  <c r="C3190" i="19"/>
  <c r="C3189" i="19"/>
  <c r="C3188" i="19"/>
  <c r="C3187" i="19"/>
  <c r="C3186" i="19"/>
  <c r="C3185" i="19"/>
  <c r="C3184" i="19"/>
  <c r="C3183" i="19"/>
  <c r="C3182" i="19"/>
  <c r="C3181" i="19"/>
  <c r="C3180" i="19"/>
  <c r="C3179" i="19"/>
  <c r="C3178" i="19"/>
  <c r="C3177" i="19"/>
  <c r="C3176" i="19"/>
  <c r="C3175" i="19"/>
  <c r="C3174" i="19"/>
  <c r="C3173" i="19"/>
  <c r="C3172" i="19"/>
  <c r="C3171" i="19"/>
  <c r="C3170" i="19"/>
  <c r="C3169" i="19"/>
  <c r="C3168" i="19"/>
  <c r="C3167" i="19"/>
  <c r="C3166" i="19"/>
  <c r="C3165" i="19"/>
  <c r="C3164" i="19"/>
  <c r="C3163" i="19"/>
  <c r="C3162" i="19"/>
  <c r="C3161" i="19"/>
  <c r="C3160" i="19"/>
  <c r="C3159" i="19"/>
  <c r="C3158" i="19"/>
  <c r="C3157" i="19"/>
  <c r="C3156" i="19"/>
  <c r="C3155" i="19"/>
  <c r="C3154" i="19"/>
  <c r="C3153" i="19"/>
  <c r="C3152" i="19"/>
  <c r="C3151" i="19"/>
  <c r="C3150" i="19"/>
  <c r="C3149" i="19"/>
  <c r="C3148" i="19"/>
  <c r="C3147" i="19"/>
  <c r="C3146" i="19"/>
  <c r="C3145" i="19"/>
  <c r="C3144" i="19"/>
  <c r="C3143" i="19"/>
  <c r="C3142" i="19"/>
  <c r="C3141" i="19"/>
  <c r="C3140" i="19"/>
  <c r="C3139" i="19"/>
  <c r="C3138" i="19"/>
  <c r="C3137" i="19"/>
  <c r="C3136" i="19"/>
  <c r="C3135" i="19"/>
  <c r="C3134" i="19"/>
  <c r="C3133" i="19"/>
  <c r="C3132" i="19"/>
  <c r="C3131" i="19"/>
  <c r="C3130" i="19"/>
  <c r="C3129" i="19"/>
  <c r="C3128" i="19"/>
  <c r="C3127" i="19"/>
  <c r="C3126" i="19"/>
  <c r="C3125" i="19"/>
  <c r="C3124" i="19"/>
  <c r="C3123" i="19"/>
  <c r="C3122" i="19"/>
  <c r="C3121" i="19"/>
  <c r="C3120" i="19"/>
  <c r="C3119" i="19"/>
  <c r="C3118" i="19"/>
  <c r="C3117" i="19"/>
  <c r="C3116" i="19"/>
  <c r="C3115" i="19"/>
  <c r="C3114" i="19"/>
  <c r="C3113" i="19"/>
  <c r="C3112" i="19"/>
  <c r="C3111" i="19"/>
  <c r="C3110" i="19"/>
  <c r="C3109" i="19"/>
  <c r="C3108" i="19"/>
  <c r="C3107" i="19"/>
  <c r="C3106" i="19"/>
  <c r="C3105" i="19"/>
  <c r="C3104" i="19"/>
  <c r="C3103" i="19"/>
  <c r="C3102" i="19"/>
  <c r="C3101" i="19"/>
  <c r="C3100" i="19"/>
  <c r="C3099" i="19"/>
  <c r="C3098" i="19"/>
  <c r="C3097" i="19"/>
  <c r="C3096" i="19"/>
  <c r="C3095" i="19"/>
  <c r="C3094" i="19"/>
  <c r="C3093" i="19"/>
  <c r="C3092" i="19"/>
  <c r="C3091" i="19"/>
  <c r="C3090" i="19"/>
  <c r="C3089" i="19"/>
  <c r="C3088" i="19"/>
  <c r="C3087" i="19"/>
  <c r="C3086" i="19"/>
  <c r="C3085" i="19"/>
  <c r="C3084" i="19"/>
  <c r="C3083" i="19"/>
  <c r="C3082" i="19"/>
  <c r="C3081" i="19"/>
  <c r="C3080" i="19"/>
  <c r="C3079" i="19"/>
  <c r="C3078" i="19"/>
  <c r="C3077" i="19"/>
  <c r="C3076" i="19"/>
  <c r="C3075" i="19"/>
  <c r="C3074" i="19"/>
  <c r="C3073" i="19"/>
  <c r="C3072" i="19"/>
  <c r="C3071" i="19"/>
  <c r="C3070" i="19"/>
  <c r="C3069" i="19"/>
  <c r="C3068" i="19"/>
  <c r="C3067" i="19"/>
  <c r="C3066" i="19"/>
  <c r="C3065" i="19"/>
  <c r="C3064" i="19"/>
  <c r="C3063" i="19"/>
  <c r="C3062" i="19"/>
  <c r="C3061" i="19"/>
  <c r="C3060" i="19"/>
  <c r="C3059" i="19"/>
  <c r="C3058" i="19"/>
  <c r="C3057" i="19"/>
  <c r="C3056" i="19"/>
  <c r="C3055" i="19"/>
  <c r="C3054" i="19"/>
  <c r="C3053" i="19"/>
  <c r="C3052" i="19"/>
  <c r="C3051" i="19"/>
  <c r="C3050" i="19"/>
  <c r="C3049" i="19"/>
  <c r="C3048" i="19"/>
  <c r="C3047" i="19"/>
  <c r="C3046" i="19"/>
  <c r="C3045" i="19"/>
  <c r="C3044" i="19"/>
  <c r="C3043" i="19"/>
  <c r="C3042" i="19"/>
  <c r="C3041" i="19"/>
  <c r="C3040" i="19"/>
  <c r="C3039" i="19"/>
  <c r="C3038" i="19"/>
  <c r="C3037" i="19"/>
  <c r="C3036" i="19"/>
  <c r="C3035" i="19"/>
  <c r="C3034" i="19"/>
  <c r="C3033" i="19"/>
  <c r="C3032" i="19"/>
  <c r="C3031" i="19"/>
  <c r="C3030" i="19"/>
  <c r="C3029" i="19"/>
  <c r="C3028" i="19"/>
  <c r="C3027" i="19"/>
  <c r="C3026" i="19"/>
  <c r="C3025" i="19"/>
  <c r="C3024" i="19"/>
  <c r="C3023" i="19"/>
  <c r="C3022" i="19"/>
  <c r="C3021" i="19"/>
  <c r="C3020" i="19"/>
  <c r="C3019" i="19"/>
  <c r="C3018" i="19"/>
  <c r="C3017" i="19"/>
  <c r="C3016" i="19"/>
  <c r="C3015" i="19"/>
  <c r="C3014" i="19"/>
  <c r="C3013" i="19"/>
  <c r="C3012" i="19"/>
  <c r="C3011" i="19"/>
  <c r="C3010" i="19"/>
  <c r="C3009" i="19"/>
  <c r="C3008" i="19"/>
  <c r="C3007" i="19"/>
  <c r="C3006" i="19"/>
  <c r="C3005" i="19"/>
  <c r="C3004" i="19"/>
  <c r="C3003" i="19"/>
  <c r="C3002" i="19"/>
  <c r="C3001" i="19"/>
  <c r="C3000" i="19"/>
  <c r="C2999" i="19"/>
  <c r="C2998" i="19"/>
  <c r="C2997" i="19"/>
  <c r="C2996" i="19"/>
  <c r="C2995" i="19"/>
  <c r="C2994" i="19"/>
  <c r="C2993" i="19"/>
  <c r="C2992" i="19"/>
  <c r="C2991" i="19"/>
  <c r="C2990" i="19"/>
  <c r="C2989" i="19"/>
  <c r="C2988" i="19"/>
  <c r="C2987" i="19"/>
  <c r="C2986" i="19"/>
  <c r="C2985" i="19"/>
  <c r="C2984" i="19"/>
  <c r="C2983" i="19"/>
  <c r="C2982" i="19"/>
  <c r="C2981" i="19"/>
  <c r="C2980" i="19"/>
  <c r="C2979" i="19"/>
  <c r="C2978" i="19"/>
  <c r="C2977" i="19"/>
  <c r="C2976" i="19"/>
  <c r="C2975" i="19"/>
  <c r="C2974" i="19"/>
  <c r="C2973" i="19"/>
  <c r="C2972" i="19"/>
  <c r="C2971" i="19"/>
  <c r="C2970" i="19"/>
  <c r="C2969" i="19"/>
  <c r="C2968" i="19"/>
  <c r="C2967" i="19"/>
  <c r="C2966" i="19"/>
  <c r="C2965" i="19"/>
  <c r="C2964" i="19"/>
  <c r="C2963" i="19"/>
  <c r="C2962" i="19"/>
  <c r="C2961" i="19"/>
  <c r="C2960" i="19"/>
  <c r="C2959" i="19"/>
  <c r="C2958" i="19"/>
  <c r="C2957" i="19"/>
  <c r="C2956" i="19"/>
  <c r="C2955" i="19"/>
  <c r="C2954" i="19"/>
  <c r="C2953" i="19"/>
  <c r="C2952" i="19"/>
  <c r="C2951" i="19"/>
  <c r="C2950" i="19"/>
  <c r="C2949" i="19"/>
  <c r="C2948" i="19"/>
  <c r="C2947" i="19"/>
  <c r="C2946" i="19"/>
  <c r="C2945" i="19"/>
  <c r="C2944" i="19"/>
  <c r="C2943" i="19"/>
  <c r="C2942" i="19"/>
  <c r="C2941" i="19"/>
  <c r="C2940" i="19"/>
  <c r="C2939" i="19"/>
  <c r="C2938" i="19"/>
  <c r="C2937" i="19"/>
  <c r="C2936" i="19"/>
  <c r="C2935" i="19"/>
  <c r="C2934" i="19"/>
  <c r="C2933" i="19"/>
  <c r="C2932" i="19"/>
  <c r="C2931" i="19"/>
  <c r="C2930" i="19"/>
  <c r="C2929" i="19"/>
  <c r="C2928" i="19"/>
  <c r="C2927" i="19"/>
  <c r="C2926" i="19"/>
  <c r="C2925" i="19"/>
  <c r="C2924" i="19"/>
  <c r="C2923" i="19"/>
  <c r="C2922" i="19"/>
  <c r="C2921" i="19"/>
  <c r="C2920" i="19"/>
  <c r="C2919" i="19"/>
  <c r="C2918" i="19"/>
  <c r="C2917" i="19"/>
  <c r="C2916" i="19"/>
  <c r="C2915" i="19"/>
  <c r="C2914" i="19"/>
  <c r="C2913" i="19"/>
  <c r="C2912" i="19"/>
  <c r="C2911" i="19"/>
  <c r="C2910" i="19"/>
  <c r="C2909" i="19"/>
  <c r="C2908" i="19"/>
  <c r="C2907" i="19"/>
  <c r="C2906" i="19"/>
  <c r="C2905" i="19"/>
  <c r="C2904" i="19"/>
  <c r="C2903" i="19"/>
  <c r="C2902" i="19"/>
  <c r="C2901" i="19"/>
  <c r="C2900" i="19"/>
  <c r="C2899" i="19"/>
  <c r="C2898" i="19"/>
  <c r="C2897" i="19"/>
  <c r="C2896" i="19"/>
  <c r="C2895" i="19"/>
  <c r="C2894" i="19"/>
  <c r="C2893" i="19"/>
  <c r="C2892" i="19"/>
  <c r="C2891" i="19"/>
  <c r="C2890" i="19"/>
  <c r="C2889" i="19"/>
  <c r="C2888" i="19"/>
  <c r="C2887" i="19"/>
  <c r="C2886" i="19"/>
  <c r="C2885" i="19"/>
  <c r="C2884" i="19"/>
  <c r="C2883" i="19"/>
  <c r="C2882" i="19"/>
  <c r="C2881" i="19"/>
  <c r="C2880" i="19"/>
  <c r="C2879" i="19"/>
  <c r="C2878" i="19"/>
  <c r="C2877" i="19"/>
  <c r="C2876" i="19"/>
  <c r="C2875" i="19"/>
  <c r="C2874" i="19"/>
  <c r="C2873" i="19"/>
  <c r="C2872" i="19"/>
  <c r="C2871" i="19"/>
  <c r="C2870" i="19"/>
  <c r="C2869" i="19"/>
  <c r="C2868" i="19"/>
  <c r="C2867" i="19"/>
  <c r="C2866" i="19"/>
  <c r="C2865" i="19"/>
  <c r="C2864" i="19"/>
  <c r="C2863" i="19"/>
  <c r="C2862" i="19"/>
  <c r="C2861" i="19"/>
  <c r="C2860" i="19"/>
  <c r="C2859" i="19"/>
  <c r="C2858" i="19"/>
  <c r="C2857" i="19"/>
  <c r="C2856" i="19"/>
  <c r="C2855" i="19"/>
  <c r="C2854" i="19"/>
  <c r="C2853" i="19"/>
  <c r="C2852" i="19"/>
  <c r="C2851" i="19"/>
  <c r="C2850" i="19"/>
  <c r="C2849" i="19"/>
  <c r="C2848" i="19"/>
  <c r="C2847" i="19"/>
  <c r="C2846" i="19"/>
  <c r="C2845" i="19"/>
  <c r="C2844" i="19"/>
  <c r="C2843" i="19"/>
  <c r="C2842" i="19"/>
  <c r="C2841" i="19"/>
  <c r="C2840" i="19"/>
  <c r="C2839" i="19"/>
  <c r="C2838" i="19"/>
  <c r="C2837" i="19"/>
  <c r="C2836" i="19"/>
  <c r="C2835" i="19"/>
  <c r="C2834" i="19"/>
  <c r="C2833" i="19"/>
  <c r="C2832" i="19"/>
  <c r="C2831" i="19"/>
  <c r="C2830" i="19"/>
  <c r="C2829" i="19"/>
  <c r="C2828" i="19"/>
  <c r="C2827" i="19"/>
  <c r="C2826" i="19"/>
  <c r="C2825" i="19"/>
  <c r="C2824" i="19"/>
  <c r="C2823" i="19"/>
  <c r="C2822" i="19"/>
  <c r="C2821" i="19"/>
  <c r="C2820" i="19"/>
  <c r="C2819" i="19"/>
  <c r="C2818" i="19"/>
  <c r="C2817" i="19"/>
  <c r="C2816" i="19"/>
  <c r="C2815" i="19"/>
  <c r="C2814" i="19"/>
  <c r="C2813" i="19"/>
  <c r="C2812" i="19"/>
  <c r="C2811" i="19"/>
  <c r="C2810" i="19"/>
  <c r="C2809" i="19"/>
  <c r="C2808" i="19"/>
  <c r="C2807" i="19"/>
  <c r="C2806" i="19"/>
  <c r="C2805" i="19"/>
  <c r="C2804" i="19"/>
  <c r="C2803" i="19"/>
  <c r="C2802" i="19"/>
  <c r="C2801" i="19"/>
  <c r="C2800" i="19"/>
  <c r="C2799" i="19"/>
  <c r="C2798" i="19"/>
  <c r="C2797" i="19"/>
  <c r="C2796" i="19"/>
  <c r="C2795" i="19"/>
  <c r="C2794" i="19"/>
  <c r="C2793" i="19"/>
  <c r="C2792" i="19"/>
  <c r="C2791" i="19"/>
  <c r="C2790" i="19"/>
  <c r="C2789" i="19"/>
  <c r="C2788" i="19"/>
  <c r="C2787" i="19"/>
  <c r="C2786" i="19"/>
  <c r="C2785" i="19"/>
  <c r="C2784" i="19"/>
  <c r="C2783" i="19"/>
  <c r="C2782" i="19"/>
  <c r="C2781" i="19"/>
  <c r="C2780" i="19"/>
  <c r="C2779" i="19"/>
  <c r="C2778" i="19"/>
  <c r="C2777" i="19"/>
  <c r="C2776" i="19"/>
  <c r="C2775" i="19"/>
  <c r="C2774" i="19"/>
  <c r="C2773" i="19"/>
  <c r="C2772" i="19"/>
  <c r="C2771" i="19"/>
  <c r="C2770" i="19"/>
  <c r="C2769" i="19"/>
  <c r="C2768" i="19"/>
  <c r="C2767" i="19"/>
  <c r="C2766" i="19"/>
  <c r="C2765" i="19"/>
  <c r="C2764" i="19"/>
  <c r="C2763" i="19"/>
  <c r="C2762" i="19"/>
  <c r="C2761" i="19"/>
  <c r="C2760" i="19"/>
  <c r="C2759" i="19"/>
  <c r="C2758" i="19"/>
  <c r="C2757" i="19"/>
  <c r="C2756" i="19"/>
  <c r="C2755" i="19"/>
  <c r="C2754" i="19"/>
  <c r="C2753" i="19"/>
  <c r="C2752" i="19"/>
  <c r="C2751" i="19"/>
  <c r="C2750" i="19"/>
  <c r="C2749" i="19"/>
  <c r="C2748" i="19"/>
  <c r="C2747" i="19"/>
  <c r="C2746" i="19"/>
  <c r="C2745" i="19"/>
  <c r="C2744" i="19"/>
  <c r="C2743" i="19"/>
  <c r="C2742" i="19"/>
  <c r="C2741" i="19"/>
  <c r="C2740" i="19"/>
  <c r="C2739" i="19"/>
  <c r="C2738" i="19"/>
  <c r="C2737" i="19"/>
  <c r="C2736" i="19"/>
  <c r="C2735" i="19"/>
  <c r="C2734" i="19"/>
  <c r="C2733" i="19"/>
  <c r="C2732" i="19"/>
  <c r="C2731" i="19"/>
  <c r="C2730" i="19"/>
  <c r="C2729" i="19"/>
  <c r="C2728" i="19"/>
  <c r="C2727" i="19"/>
  <c r="C2726" i="19"/>
  <c r="C2725" i="19"/>
  <c r="C2724" i="19"/>
  <c r="C2723" i="19"/>
  <c r="C2722" i="19"/>
  <c r="C2721" i="19"/>
  <c r="C2720" i="19"/>
  <c r="C2719" i="19"/>
  <c r="C2718" i="19"/>
  <c r="C2717" i="19"/>
  <c r="C2716" i="19"/>
  <c r="C2715" i="19"/>
  <c r="C2714" i="19"/>
  <c r="C2713" i="19"/>
  <c r="C2712" i="19"/>
  <c r="C2711" i="19"/>
  <c r="C2710" i="19"/>
  <c r="C2709" i="19"/>
  <c r="C2708" i="19"/>
  <c r="C2707" i="19"/>
  <c r="C2706" i="19"/>
  <c r="C2705" i="19"/>
  <c r="C2704" i="19"/>
  <c r="C2703" i="19"/>
  <c r="C2702" i="19"/>
  <c r="C2701" i="19"/>
  <c r="C2700" i="19"/>
  <c r="C2699" i="19"/>
  <c r="C2698" i="19"/>
  <c r="C2697" i="19"/>
  <c r="C2696" i="19"/>
  <c r="C2695" i="19"/>
  <c r="C2694" i="19"/>
  <c r="C2693" i="19"/>
  <c r="C2692" i="19"/>
  <c r="C2691" i="19"/>
  <c r="C2690" i="19"/>
  <c r="C2689" i="19"/>
  <c r="C2688" i="19"/>
  <c r="C2687" i="19"/>
  <c r="C2686" i="19"/>
  <c r="C2685" i="19"/>
  <c r="C2684" i="19"/>
  <c r="C2683" i="19"/>
  <c r="C2682" i="19"/>
  <c r="C2681" i="19"/>
  <c r="C2680" i="19"/>
  <c r="C2679" i="19"/>
  <c r="C2678" i="19"/>
  <c r="C2677" i="19"/>
  <c r="C2676" i="19"/>
  <c r="C2675" i="19"/>
  <c r="C2674" i="19"/>
  <c r="C2673" i="19"/>
  <c r="C2672" i="19"/>
  <c r="C2671" i="19"/>
  <c r="C2670" i="19"/>
  <c r="C2669" i="19"/>
  <c r="C2668" i="19"/>
  <c r="C2667" i="19"/>
  <c r="C2666" i="19"/>
  <c r="C2665" i="19"/>
  <c r="C2664" i="19"/>
  <c r="C2663" i="19"/>
  <c r="C2662" i="19"/>
  <c r="C2661" i="19"/>
  <c r="C2660" i="19"/>
  <c r="C2659" i="19"/>
  <c r="C2658" i="19"/>
  <c r="C2657" i="19"/>
  <c r="C2656" i="19"/>
  <c r="C2655" i="19"/>
  <c r="C2654" i="19"/>
  <c r="C2653" i="19"/>
  <c r="C2652" i="19"/>
  <c r="C2651" i="19"/>
  <c r="C2650" i="19"/>
  <c r="C2649" i="19"/>
  <c r="C2648" i="19"/>
  <c r="C2647" i="19"/>
  <c r="C2646" i="19"/>
  <c r="C2645" i="19"/>
  <c r="C2644" i="19"/>
  <c r="C2643" i="19"/>
  <c r="C2642" i="19"/>
  <c r="C2641" i="19"/>
  <c r="C2640" i="19"/>
  <c r="C2639" i="19"/>
  <c r="C2638" i="19"/>
  <c r="C2637" i="19"/>
  <c r="C2636" i="19"/>
  <c r="C2635" i="19"/>
  <c r="C2634" i="19"/>
  <c r="C2633" i="19"/>
  <c r="C2632" i="19"/>
  <c r="C2631" i="19"/>
  <c r="C2630" i="19"/>
  <c r="C2629" i="19"/>
  <c r="C2628" i="19"/>
  <c r="C2627" i="19"/>
  <c r="C2626" i="19"/>
  <c r="C2625" i="19"/>
  <c r="C2624" i="19"/>
  <c r="C2623" i="19"/>
  <c r="C2622" i="19"/>
  <c r="C2621" i="19"/>
  <c r="C2620" i="19"/>
  <c r="C2619" i="19"/>
  <c r="C2618" i="19"/>
  <c r="C2617" i="19"/>
  <c r="C2616" i="19"/>
  <c r="C2615" i="19"/>
  <c r="C2614" i="19"/>
  <c r="C2613" i="19"/>
  <c r="C2612" i="19"/>
  <c r="C2611" i="19"/>
  <c r="C2610" i="19"/>
  <c r="C2609" i="19"/>
  <c r="C2608" i="19"/>
  <c r="C2607" i="19"/>
  <c r="C2606" i="19"/>
  <c r="C2605" i="19"/>
  <c r="C2604" i="19"/>
  <c r="C2603" i="19"/>
  <c r="C2602" i="19"/>
  <c r="C2601" i="19"/>
  <c r="C2600" i="19"/>
  <c r="C2599" i="19"/>
  <c r="C2598" i="19"/>
  <c r="C2597" i="19"/>
  <c r="C2596" i="19"/>
  <c r="C2595" i="19"/>
  <c r="C2594" i="19"/>
  <c r="C2593" i="19"/>
  <c r="C2592" i="19"/>
  <c r="C2591" i="19"/>
  <c r="C2590" i="19"/>
  <c r="C2589" i="19"/>
  <c r="C2588" i="19"/>
  <c r="C2587" i="19"/>
  <c r="C2586" i="19"/>
  <c r="C2585" i="19"/>
  <c r="C2584" i="19"/>
  <c r="C2583" i="19"/>
  <c r="C2582" i="19"/>
  <c r="C2581" i="19"/>
  <c r="C2580" i="19"/>
  <c r="C2579" i="19"/>
  <c r="C2578" i="19"/>
  <c r="C2577" i="19"/>
  <c r="C2576" i="19"/>
  <c r="C2575" i="19"/>
  <c r="C2574" i="19"/>
  <c r="C2573" i="19"/>
  <c r="C2572" i="19"/>
  <c r="C2571" i="19"/>
  <c r="C2570" i="19"/>
  <c r="C2569" i="19"/>
  <c r="C2568" i="19"/>
  <c r="C2567" i="19"/>
  <c r="C2566" i="19"/>
  <c r="C2565" i="19"/>
  <c r="C2564" i="19"/>
  <c r="C2563" i="19"/>
  <c r="C2562" i="19"/>
  <c r="C2561" i="19"/>
  <c r="C2560" i="19"/>
  <c r="C2559" i="19"/>
  <c r="C2558" i="19"/>
  <c r="C2557" i="19"/>
  <c r="C2556" i="19"/>
  <c r="C2555" i="19"/>
  <c r="C2554" i="19"/>
  <c r="C2553" i="19"/>
  <c r="C2552" i="19"/>
  <c r="C2551" i="19"/>
  <c r="C2550" i="19"/>
  <c r="C2549" i="19"/>
  <c r="C2548" i="19"/>
  <c r="C2547" i="19"/>
  <c r="C2546" i="19"/>
  <c r="C2545" i="19"/>
  <c r="C2544" i="19"/>
  <c r="C2543" i="19"/>
  <c r="C2542" i="19"/>
  <c r="C2541" i="19"/>
  <c r="C2540" i="19"/>
  <c r="C2539" i="19"/>
  <c r="C2538" i="19"/>
  <c r="C2537" i="19"/>
  <c r="C2536" i="19"/>
  <c r="C2535" i="19"/>
  <c r="C2534" i="19"/>
  <c r="C2533" i="19"/>
  <c r="C2532" i="19"/>
  <c r="C2531" i="19"/>
  <c r="C2530" i="19"/>
  <c r="C2529" i="19"/>
  <c r="C2528" i="19"/>
  <c r="C2527" i="19"/>
  <c r="C2526" i="19"/>
  <c r="C2525" i="19"/>
  <c r="C2524" i="19"/>
  <c r="C2523" i="19"/>
  <c r="C2522" i="19"/>
  <c r="C2521" i="19"/>
  <c r="C2520" i="19"/>
  <c r="C2519" i="19"/>
  <c r="C2518" i="19"/>
  <c r="C2517" i="19"/>
  <c r="C2516" i="19"/>
  <c r="C2515" i="19"/>
  <c r="C2514" i="19"/>
  <c r="C2513" i="19"/>
  <c r="C2512" i="19"/>
  <c r="C2511" i="19"/>
  <c r="C2510" i="19"/>
  <c r="C2509" i="19"/>
  <c r="C2508" i="19"/>
  <c r="C2507" i="19"/>
  <c r="C2506" i="19"/>
  <c r="C2505" i="19"/>
  <c r="C2504" i="19"/>
  <c r="C2503" i="19"/>
  <c r="C2502" i="19"/>
  <c r="C2501" i="19"/>
  <c r="C2500" i="19"/>
  <c r="C2499" i="19"/>
  <c r="C2498" i="19"/>
  <c r="C2497" i="19"/>
  <c r="C2496" i="19"/>
  <c r="C2495" i="19"/>
  <c r="C2494" i="19"/>
  <c r="C2493" i="19"/>
  <c r="C2492" i="19"/>
  <c r="C2491" i="19"/>
  <c r="C2490" i="19"/>
  <c r="C2489" i="19"/>
  <c r="C2488" i="19"/>
  <c r="C2487" i="19"/>
  <c r="C2486" i="19"/>
  <c r="C2485" i="19"/>
  <c r="C2484" i="19"/>
  <c r="C2483" i="19"/>
  <c r="C2482" i="19"/>
  <c r="C2481" i="19"/>
  <c r="C2480" i="19"/>
  <c r="C2479" i="19"/>
  <c r="C2478" i="19"/>
  <c r="C2477" i="19"/>
  <c r="C2476" i="19"/>
  <c r="C2475" i="19"/>
  <c r="C2474" i="19"/>
  <c r="C2473" i="19"/>
  <c r="C2472" i="19"/>
  <c r="C2471" i="19"/>
  <c r="C2470" i="19"/>
  <c r="C2469" i="19"/>
  <c r="C2468" i="19"/>
  <c r="C2467" i="19"/>
  <c r="C2466" i="19"/>
  <c r="C2465" i="19"/>
  <c r="C2464" i="19"/>
  <c r="C2463" i="19"/>
  <c r="C2462" i="19"/>
  <c r="C2461" i="19"/>
  <c r="C2460" i="19"/>
  <c r="C2459" i="19"/>
  <c r="C2458" i="19"/>
  <c r="C2457" i="19"/>
  <c r="C2456" i="19"/>
  <c r="C2455" i="19"/>
  <c r="C2454" i="19"/>
  <c r="C2453" i="19"/>
  <c r="C2452" i="19"/>
  <c r="C2451" i="19"/>
  <c r="C2450" i="19"/>
  <c r="C2449" i="19"/>
  <c r="C2448" i="19"/>
  <c r="C2447" i="19"/>
  <c r="C2446" i="19"/>
  <c r="C2445" i="19"/>
  <c r="C2444" i="19"/>
  <c r="C2443" i="19"/>
  <c r="C2442" i="19"/>
  <c r="C2441" i="19"/>
  <c r="C2440" i="19"/>
  <c r="C2439" i="19"/>
  <c r="C2438" i="19"/>
  <c r="C2437" i="19"/>
  <c r="C2436" i="19"/>
  <c r="C2435" i="19"/>
  <c r="C2434" i="19"/>
  <c r="C2433" i="19"/>
  <c r="C2432" i="19"/>
  <c r="C2431" i="19"/>
  <c r="C2430" i="19"/>
  <c r="C2429" i="19"/>
  <c r="C2428" i="19"/>
  <c r="C2427" i="19"/>
  <c r="C2426" i="19"/>
  <c r="C2425" i="19"/>
  <c r="C2424" i="19"/>
  <c r="C2423" i="19"/>
  <c r="C2422" i="19"/>
  <c r="C2421" i="19"/>
  <c r="C2420" i="19"/>
  <c r="C2419" i="19"/>
  <c r="C2418" i="19"/>
  <c r="C2417" i="19"/>
  <c r="C2416" i="19"/>
  <c r="C2415" i="19"/>
  <c r="C2414" i="19"/>
  <c r="C2413" i="19"/>
  <c r="C2412" i="19"/>
  <c r="C2411" i="19"/>
  <c r="C2410" i="19"/>
  <c r="C2409" i="19"/>
  <c r="C2408" i="19"/>
  <c r="C2407" i="19"/>
  <c r="C2406" i="19"/>
  <c r="C2405" i="19"/>
  <c r="C2404" i="19"/>
  <c r="C2403" i="19"/>
  <c r="C2402" i="19"/>
  <c r="C2401" i="19"/>
  <c r="C2400" i="19"/>
  <c r="C2399" i="19"/>
  <c r="C2398" i="19"/>
  <c r="C2397" i="19"/>
  <c r="C2396" i="19"/>
  <c r="C2395" i="19"/>
  <c r="C2394" i="19"/>
  <c r="C2393" i="19"/>
  <c r="C2392" i="19"/>
  <c r="C2391" i="19"/>
  <c r="C2390" i="19"/>
  <c r="C2389" i="19"/>
  <c r="C2388" i="19"/>
  <c r="C2387" i="19"/>
  <c r="C2386" i="19"/>
  <c r="C2385" i="19"/>
  <c r="C2384" i="19"/>
  <c r="C2383" i="19"/>
  <c r="C2382" i="19"/>
  <c r="C2381" i="19"/>
  <c r="C2380" i="19"/>
  <c r="C2379" i="19"/>
  <c r="C2378" i="19"/>
  <c r="C2377" i="19"/>
  <c r="C2376" i="19"/>
  <c r="C2375" i="19"/>
  <c r="C2374" i="19"/>
  <c r="C2373" i="19"/>
  <c r="C2372" i="19"/>
  <c r="C2371" i="19"/>
  <c r="C2370" i="19"/>
  <c r="C2369" i="19"/>
  <c r="C2368" i="19"/>
  <c r="C2367" i="19"/>
  <c r="C2366" i="19"/>
  <c r="C2365" i="19"/>
  <c r="C2364" i="19"/>
  <c r="C2363" i="19"/>
  <c r="C2362" i="19"/>
  <c r="C2361" i="19"/>
  <c r="C2360" i="19"/>
  <c r="C2359" i="19"/>
  <c r="C2358" i="19"/>
  <c r="C2357" i="19"/>
  <c r="C2356" i="19"/>
  <c r="C2355" i="19"/>
  <c r="C2354" i="19"/>
  <c r="C2353" i="19"/>
  <c r="C2352" i="19"/>
  <c r="C2351" i="19"/>
  <c r="C2350" i="19"/>
  <c r="C2349" i="19"/>
  <c r="C2348" i="19"/>
  <c r="C2347" i="19"/>
  <c r="C2346" i="19"/>
  <c r="C2345" i="19"/>
  <c r="C2344" i="19"/>
  <c r="C2343" i="19"/>
  <c r="C2342" i="19"/>
  <c r="C2341" i="19"/>
  <c r="C2340" i="19"/>
  <c r="C2339" i="19"/>
  <c r="C2338" i="19"/>
  <c r="C2337" i="19"/>
  <c r="C2336" i="19"/>
  <c r="C2335" i="19"/>
  <c r="C2334" i="19"/>
  <c r="C2333" i="19"/>
  <c r="C2332" i="19"/>
  <c r="C2331" i="19"/>
  <c r="C2330" i="19"/>
  <c r="C2329" i="19"/>
  <c r="C2328" i="19"/>
  <c r="C2327" i="19"/>
  <c r="C2326" i="19"/>
  <c r="C2325" i="19"/>
  <c r="C2324" i="19"/>
  <c r="C2323" i="19"/>
  <c r="C2322" i="19"/>
  <c r="C2321" i="19"/>
  <c r="C2320" i="19"/>
  <c r="C2319" i="19"/>
  <c r="C2318" i="19"/>
  <c r="C2317" i="19"/>
  <c r="C2316" i="19"/>
  <c r="C2315" i="19"/>
  <c r="C2314" i="19"/>
  <c r="C2313" i="19"/>
  <c r="C2312" i="19"/>
  <c r="C2311" i="19"/>
  <c r="C2310" i="19"/>
  <c r="C2309" i="19"/>
  <c r="C2308" i="19"/>
  <c r="C2307" i="19"/>
  <c r="C2306" i="19"/>
  <c r="C2305" i="19"/>
  <c r="C2304" i="19"/>
  <c r="C2303" i="19"/>
  <c r="C2302" i="19"/>
  <c r="C2301" i="19"/>
  <c r="C2300" i="19"/>
  <c r="C2299" i="19"/>
  <c r="C2298" i="19"/>
  <c r="C2297" i="19"/>
  <c r="C2296" i="19"/>
  <c r="C2295" i="19"/>
  <c r="C2294" i="19"/>
  <c r="C2293" i="19"/>
  <c r="C2292" i="19"/>
  <c r="C2291" i="19"/>
  <c r="C2290" i="19"/>
  <c r="C2289" i="19"/>
  <c r="C2288" i="19"/>
  <c r="C2287" i="19"/>
  <c r="C2286" i="19"/>
  <c r="C2285" i="19"/>
  <c r="C2284" i="19"/>
  <c r="C2283" i="19"/>
  <c r="C2282" i="19"/>
  <c r="C2281" i="19"/>
  <c r="C2280" i="19"/>
  <c r="C2279" i="19"/>
  <c r="C2278" i="19"/>
  <c r="C2277" i="19"/>
  <c r="C2276" i="19"/>
  <c r="C2275" i="19"/>
  <c r="C2274" i="19"/>
  <c r="C2273" i="19"/>
  <c r="C2272" i="19"/>
  <c r="C2271" i="19"/>
  <c r="C2270" i="19"/>
  <c r="C2269" i="19"/>
  <c r="C2268" i="19"/>
  <c r="C2267" i="19"/>
  <c r="C2266" i="19"/>
  <c r="C2265" i="19"/>
  <c r="C2264" i="19"/>
  <c r="C2263" i="19"/>
  <c r="C2262" i="19"/>
  <c r="C2261" i="19"/>
  <c r="C2260" i="19"/>
  <c r="C2259" i="19"/>
  <c r="C2258" i="19"/>
  <c r="C2257" i="19"/>
  <c r="C2256" i="19"/>
  <c r="C2255" i="19"/>
  <c r="C2254" i="19"/>
  <c r="C2253" i="19"/>
  <c r="C2252" i="19"/>
  <c r="C2251" i="19"/>
  <c r="C2250" i="19"/>
  <c r="C2249" i="19"/>
  <c r="C2248" i="19"/>
  <c r="C2247" i="19"/>
  <c r="C2246" i="19"/>
  <c r="C2245" i="19"/>
  <c r="C2244" i="19"/>
  <c r="C2243" i="19"/>
  <c r="C2242" i="19"/>
  <c r="C2241" i="19"/>
  <c r="C2240" i="19"/>
  <c r="C2239" i="19"/>
  <c r="C2238" i="19"/>
  <c r="C2237" i="19"/>
  <c r="C2236" i="19"/>
  <c r="C2235" i="19"/>
  <c r="C2234" i="19"/>
  <c r="C2233" i="19"/>
  <c r="C2232" i="19"/>
  <c r="C2231" i="19"/>
  <c r="C2230" i="19"/>
  <c r="C2229" i="19"/>
  <c r="C2228" i="19"/>
  <c r="C2227" i="19"/>
  <c r="C2226" i="19"/>
  <c r="C2225" i="19"/>
  <c r="C2224" i="19"/>
  <c r="C2223" i="19"/>
  <c r="C2222" i="19"/>
  <c r="C2221" i="19"/>
  <c r="C2220" i="19"/>
  <c r="C2219" i="19"/>
  <c r="C2218" i="19"/>
  <c r="C2217" i="19"/>
  <c r="C2216" i="19"/>
  <c r="C2215" i="19"/>
  <c r="C2214" i="19"/>
  <c r="C2213" i="19"/>
  <c r="C2212" i="19"/>
  <c r="C2211" i="19"/>
  <c r="C2210" i="19"/>
  <c r="C2209" i="19"/>
  <c r="C2208" i="19"/>
  <c r="C2207" i="19"/>
  <c r="C2206" i="19"/>
  <c r="C2205" i="19"/>
  <c r="C2204" i="19"/>
  <c r="C2203" i="19"/>
  <c r="C2202" i="19"/>
  <c r="C2201" i="19"/>
  <c r="C2200" i="19"/>
  <c r="C2199" i="19"/>
  <c r="C2198" i="19"/>
  <c r="C2197" i="19"/>
  <c r="C2196" i="19"/>
  <c r="C2195" i="19"/>
  <c r="C2194" i="19"/>
  <c r="C2193" i="19"/>
  <c r="C2192" i="19"/>
  <c r="C2191" i="19"/>
  <c r="C2190" i="19"/>
  <c r="C2189" i="19"/>
  <c r="C2188" i="19"/>
  <c r="C2187" i="19"/>
  <c r="C2186" i="19"/>
  <c r="C2185" i="19"/>
  <c r="C2184" i="19"/>
  <c r="C2183" i="19"/>
  <c r="C2182" i="19"/>
  <c r="C2181" i="19"/>
  <c r="C2180" i="19"/>
  <c r="C2179" i="19"/>
  <c r="C2178" i="19"/>
  <c r="C2177" i="19"/>
  <c r="C2176" i="19"/>
  <c r="C2175" i="19"/>
  <c r="C2174" i="19"/>
  <c r="C2173" i="19"/>
  <c r="C2172" i="19"/>
  <c r="C2171" i="19"/>
  <c r="C2170" i="19"/>
  <c r="C2169" i="19"/>
  <c r="C2168" i="19"/>
  <c r="C2167" i="19"/>
  <c r="C2166" i="19"/>
  <c r="C2165" i="19"/>
  <c r="C2164" i="19"/>
  <c r="C2163" i="19"/>
  <c r="C2162" i="19"/>
  <c r="C2161" i="19"/>
  <c r="C2160" i="19"/>
  <c r="C2159" i="19"/>
  <c r="C2158" i="19"/>
  <c r="C2157" i="19"/>
  <c r="C2156" i="19"/>
  <c r="C2155" i="19"/>
  <c r="C2154" i="19"/>
  <c r="C2153" i="19"/>
  <c r="C2152" i="19"/>
  <c r="C2151" i="19"/>
  <c r="C2150" i="19"/>
  <c r="C2149" i="19"/>
  <c r="C2148" i="19"/>
  <c r="C2147" i="19"/>
  <c r="C2146" i="19"/>
  <c r="C2145" i="19"/>
  <c r="C2144" i="19"/>
  <c r="C2143" i="19"/>
  <c r="C2142" i="19"/>
  <c r="C2141" i="19"/>
  <c r="C2140" i="19"/>
  <c r="C2139" i="19"/>
  <c r="C2138" i="19"/>
  <c r="C2137" i="19"/>
  <c r="C2136" i="19"/>
  <c r="C2135" i="19"/>
  <c r="C2134" i="19"/>
  <c r="C2133" i="19"/>
  <c r="C2132" i="19"/>
  <c r="C2131" i="19"/>
  <c r="C2130" i="19"/>
  <c r="C2129" i="19"/>
  <c r="C2128" i="19"/>
  <c r="C2127" i="19"/>
  <c r="C2126" i="19"/>
  <c r="C2125" i="19"/>
  <c r="C2124" i="19"/>
  <c r="C2123" i="19"/>
  <c r="C2122" i="19"/>
  <c r="C2121" i="19"/>
  <c r="C2120" i="19"/>
  <c r="C2119" i="19"/>
  <c r="C2118" i="19"/>
  <c r="C2117" i="19"/>
  <c r="C2116" i="19"/>
  <c r="C2115" i="19"/>
  <c r="C2114" i="19"/>
  <c r="C2113" i="19"/>
  <c r="C2112" i="19"/>
  <c r="C2111" i="19"/>
  <c r="C2110" i="19"/>
  <c r="C2109" i="19"/>
  <c r="C2108" i="19"/>
  <c r="C2107" i="19"/>
  <c r="C2106" i="19"/>
  <c r="C2105" i="19"/>
  <c r="C2104" i="19"/>
  <c r="C2103" i="19"/>
  <c r="C2102" i="19"/>
  <c r="C2101" i="19"/>
  <c r="C2100" i="19"/>
  <c r="C2099" i="19"/>
  <c r="C2098" i="19"/>
  <c r="C2097" i="19"/>
  <c r="C2096" i="19"/>
  <c r="C2095" i="19"/>
  <c r="C2094" i="19"/>
  <c r="C2093" i="19"/>
  <c r="C2092" i="19"/>
  <c r="C2091" i="19"/>
  <c r="C2090" i="19"/>
  <c r="C2089" i="19"/>
  <c r="C2088" i="19"/>
  <c r="C2087" i="19"/>
  <c r="C2086" i="19"/>
  <c r="C2085" i="19"/>
  <c r="C2084" i="19"/>
  <c r="C2083" i="19"/>
  <c r="C2082" i="19"/>
  <c r="C2081" i="19"/>
  <c r="C2080" i="19"/>
  <c r="C2079" i="19"/>
  <c r="C2078" i="19"/>
  <c r="C2077" i="19"/>
  <c r="C2076" i="19"/>
  <c r="C2075" i="19"/>
  <c r="C2074" i="19"/>
  <c r="C2073" i="19"/>
  <c r="C2072" i="19"/>
  <c r="C2071" i="19"/>
  <c r="C2070" i="19"/>
  <c r="C2069" i="19"/>
  <c r="C2068" i="19"/>
  <c r="C2067" i="19"/>
  <c r="C2066" i="19"/>
  <c r="C2065" i="19"/>
  <c r="C2064" i="19"/>
  <c r="C2063" i="19"/>
  <c r="C2062" i="19"/>
  <c r="C2061" i="19"/>
  <c r="C2060" i="19"/>
  <c r="C2059" i="19"/>
  <c r="C2058" i="19"/>
  <c r="C2057" i="19"/>
  <c r="C2056" i="19"/>
  <c r="C2055" i="19"/>
  <c r="C2054" i="19"/>
  <c r="C2053" i="19"/>
  <c r="C2052" i="19"/>
  <c r="C2051" i="19"/>
  <c r="C2050" i="19"/>
  <c r="C2049" i="19"/>
  <c r="C2048" i="19"/>
  <c r="C2047" i="19"/>
  <c r="C2046" i="19"/>
  <c r="C2045" i="19"/>
  <c r="C2044" i="19"/>
  <c r="C2043" i="19"/>
  <c r="C2042" i="19"/>
  <c r="C2041" i="19"/>
  <c r="C2040" i="19"/>
  <c r="C2039" i="19"/>
  <c r="C2038" i="19"/>
  <c r="C2037" i="19"/>
  <c r="C2036" i="19"/>
  <c r="C2035" i="19"/>
  <c r="C2034" i="19"/>
  <c r="C2033" i="19"/>
  <c r="C2032" i="19"/>
  <c r="C2031" i="19"/>
  <c r="C2030" i="19"/>
  <c r="C2029" i="19"/>
  <c r="C2028" i="19"/>
  <c r="C2027" i="19"/>
  <c r="C2026" i="19"/>
  <c r="C2025" i="19"/>
  <c r="C2024" i="19"/>
  <c r="C2023" i="19"/>
  <c r="C2022" i="19"/>
  <c r="C2021" i="19"/>
  <c r="C2020" i="19"/>
  <c r="C2019" i="19"/>
  <c r="C2018" i="19"/>
  <c r="C2017" i="19"/>
  <c r="C2016" i="19"/>
  <c r="C2015" i="19"/>
  <c r="C2014" i="19"/>
  <c r="C2013" i="19"/>
  <c r="C2012" i="19"/>
  <c r="C2011" i="19"/>
  <c r="C2010" i="19"/>
  <c r="C2009" i="19"/>
  <c r="C2008" i="19"/>
  <c r="C2007" i="19"/>
  <c r="C2006" i="19"/>
  <c r="C2005" i="19"/>
  <c r="C2004" i="19"/>
  <c r="C2003" i="19"/>
  <c r="C2002" i="19"/>
  <c r="C2001" i="19"/>
  <c r="C2000" i="19"/>
  <c r="C1999" i="19"/>
  <c r="C1998" i="19"/>
  <c r="C1997" i="19"/>
  <c r="C1996" i="19"/>
  <c r="C1995" i="19"/>
  <c r="C1994" i="19"/>
  <c r="C1993" i="19"/>
  <c r="C1992" i="19"/>
  <c r="C1991" i="19"/>
  <c r="C1990" i="19"/>
  <c r="C1989" i="19"/>
  <c r="C1988" i="19"/>
  <c r="C1987" i="19"/>
  <c r="C1986" i="19"/>
  <c r="C1985" i="19"/>
  <c r="C1984" i="19"/>
  <c r="C1983" i="19"/>
  <c r="C1982" i="19"/>
  <c r="C1981" i="19"/>
  <c r="C1980" i="19"/>
  <c r="C1979" i="19"/>
  <c r="C1978" i="19"/>
  <c r="C1977" i="19"/>
  <c r="C1976" i="19"/>
  <c r="C1975" i="19"/>
  <c r="C1974" i="19"/>
  <c r="C1973" i="19"/>
  <c r="C1972" i="19"/>
  <c r="C1971" i="19"/>
  <c r="C1970" i="19"/>
  <c r="C1969" i="19"/>
  <c r="C1968" i="19"/>
  <c r="C1967" i="19"/>
  <c r="C1966" i="19"/>
  <c r="C1965" i="19"/>
  <c r="C1964" i="19"/>
  <c r="C1963" i="19"/>
  <c r="C1962" i="19"/>
  <c r="C1961" i="19"/>
  <c r="C1960" i="19"/>
  <c r="C1959" i="19"/>
  <c r="C1958" i="19"/>
  <c r="C1957" i="19"/>
  <c r="C1956" i="19"/>
  <c r="C1955" i="19"/>
  <c r="C1954" i="19"/>
  <c r="C1953" i="19"/>
  <c r="C1952" i="19"/>
  <c r="C1951" i="19"/>
  <c r="C1950" i="19"/>
  <c r="C1949" i="19"/>
  <c r="C1948" i="19"/>
  <c r="C1947" i="19"/>
  <c r="C1946" i="19"/>
  <c r="C1945" i="19"/>
  <c r="C1944" i="19"/>
  <c r="C1943" i="19"/>
  <c r="C1942" i="19"/>
  <c r="C1941" i="19"/>
  <c r="C1940" i="19"/>
  <c r="C1939" i="19"/>
  <c r="C1938" i="19"/>
  <c r="C1937" i="19"/>
  <c r="C1936" i="19"/>
  <c r="C1935" i="19"/>
  <c r="C1934" i="19"/>
  <c r="C1933" i="19"/>
  <c r="C1932" i="19"/>
  <c r="C1931" i="19"/>
  <c r="C1930" i="19"/>
  <c r="C1929" i="19"/>
  <c r="C1928" i="19"/>
  <c r="C1927" i="19"/>
  <c r="C1926" i="19"/>
  <c r="C1925" i="19"/>
  <c r="C1924" i="19"/>
  <c r="C1923" i="19"/>
  <c r="C1922" i="19"/>
  <c r="C1921" i="19"/>
  <c r="C1920" i="19"/>
  <c r="C1919" i="19"/>
  <c r="C1918" i="19"/>
  <c r="C1917" i="19"/>
  <c r="C1916" i="19"/>
  <c r="C1915" i="19"/>
  <c r="C1914" i="19"/>
  <c r="C1913" i="19"/>
  <c r="C1912" i="19"/>
  <c r="C1911" i="19"/>
  <c r="C1910" i="19"/>
  <c r="C1909" i="19"/>
  <c r="C1908" i="19"/>
  <c r="C1907" i="19"/>
  <c r="C1906" i="19"/>
  <c r="C1905" i="19"/>
  <c r="C1904" i="19"/>
  <c r="C1903" i="19"/>
  <c r="C1902" i="19"/>
  <c r="C1901" i="19"/>
  <c r="C1900" i="19"/>
  <c r="C1899" i="19"/>
  <c r="C1898" i="19"/>
  <c r="C1897" i="19"/>
  <c r="C1896" i="19"/>
  <c r="C1895" i="19"/>
  <c r="C1894" i="19"/>
  <c r="C1893" i="19"/>
  <c r="C1892" i="19"/>
  <c r="C1891" i="19"/>
  <c r="C1890" i="19"/>
  <c r="C1889" i="19"/>
  <c r="C1888" i="19"/>
  <c r="C1887" i="19"/>
  <c r="C1886" i="19"/>
  <c r="C1885" i="19"/>
  <c r="C1884" i="19"/>
  <c r="C1883" i="19"/>
  <c r="C1882" i="19"/>
  <c r="C1881" i="19"/>
  <c r="C1880" i="19"/>
  <c r="C1879" i="19"/>
  <c r="C1878" i="19"/>
  <c r="C1877" i="19"/>
  <c r="C1876" i="19"/>
  <c r="C1875" i="19"/>
  <c r="C1874" i="19"/>
  <c r="C1873" i="19"/>
  <c r="C1872" i="19"/>
  <c r="C1871" i="19"/>
  <c r="C1870" i="19"/>
  <c r="C1869" i="19"/>
  <c r="C1868" i="19"/>
  <c r="C1867" i="19"/>
  <c r="C1866" i="19"/>
  <c r="C1865" i="19"/>
  <c r="C1864" i="19"/>
  <c r="C1863" i="19"/>
  <c r="C1862" i="19"/>
  <c r="C1861" i="19"/>
  <c r="C1860" i="19"/>
  <c r="C1859" i="19"/>
  <c r="C1858" i="19"/>
  <c r="C1857" i="19"/>
  <c r="C1856" i="19"/>
  <c r="C1855" i="19"/>
  <c r="C1854" i="19"/>
  <c r="C1853" i="19"/>
  <c r="C1852" i="19"/>
  <c r="C1851" i="19"/>
  <c r="C1850" i="19"/>
  <c r="C1849" i="19"/>
  <c r="C1848" i="19"/>
  <c r="C1847" i="19"/>
  <c r="C1846" i="19"/>
  <c r="C1845" i="19"/>
  <c r="C1844" i="19"/>
  <c r="C1843" i="19"/>
  <c r="C1842" i="19"/>
  <c r="C1841" i="19"/>
  <c r="C1840" i="19"/>
  <c r="C1839" i="19"/>
  <c r="C1838" i="19"/>
  <c r="C1837" i="19"/>
  <c r="C1836" i="19"/>
  <c r="C1835" i="19"/>
  <c r="C1834" i="19"/>
  <c r="C1833" i="19"/>
  <c r="C1832" i="19"/>
  <c r="C1831" i="19"/>
  <c r="C1830" i="19"/>
  <c r="C1829" i="19"/>
  <c r="C1828" i="19"/>
  <c r="C1827" i="19"/>
  <c r="C1826" i="19"/>
  <c r="C1825" i="19"/>
  <c r="C1824" i="19"/>
  <c r="C1823" i="19"/>
  <c r="C1822" i="19"/>
  <c r="C1821" i="19"/>
  <c r="C1820" i="19"/>
  <c r="C1819" i="19"/>
  <c r="C1818" i="19"/>
  <c r="C1817" i="19"/>
  <c r="C1816" i="19"/>
  <c r="C1815" i="19"/>
  <c r="C1814" i="19"/>
  <c r="C1813" i="19"/>
  <c r="C1812" i="19"/>
  <c r="C1811" i="19"/>
  <c r="C1810" i="19"/>
  <c r="C1809" i="19"/>
  <c r="C1808" i="19"/>
  <c r="C1807" i="19"/>
  <c r="C1806" i="19"/>
  <c r="C1805" i="19"/>
  <c r="C1804" i="19"/>
  <c r="C1803" i="19"/>
  <c r="C1802" i="19"/>
  <c r="C1801" i="19"/>
  <c r="C1800" i="19"/>
  <c r="C1799" i="19"/>
  <c r="C1798" i="19"/>
  <c r="C1797" i="19"/>
  <c r="C1796" i="19"/>
  <c r="C1795" i="19"/>
  <c r="C1794" i="19"/>
  <c r="C1793" i="19"/>
  <c r="C1792" i="19"/>
  <c r="C1791" i="19"/>
  <c r="C1790" i="19"/>
  <c r="C1789" i="19"/>
  <c r="C1788" i="19"/>
  <c r="C1787" i="19"/>
  <c r="C1786" i="19"/>
  <c r="C1785" i="19"/>
  <c r="C1784" i="19"/>
  <c r="C1783" i="19"/>
  <c r="C1782" i="19"/>
  <c r="C1781" i="19"/>
  <c r="C1780" i="19"/>
  <c r="C1779" i="19"/>
  <c r="C1778" i="19"/>
  <c r="C1777" i="19"/>
  <c r="C1776" i="19"/>
  <c r="C1775" i="19"/>
  <c r="C1774" i="19"/>
  <c r="C1773" i="19"/>
  <c r="C1772" i="19"/>
  <c r="C1771" i="19"/>
  <c r="C1770" i="19"/>
  <c r="C1769" i="19"/>
  <c r="C1768" i="19"/>
  <c r="C1767" i="19"/>
  <c r="C1766" i="19"/>
  <c r="C1765" i="19"/>
  <c r="C1764" i="19"/>
  <c r="C1763" i="19"/>
  <c r="C1762" i="19"/>
  <c r="C1761" i="19"/>
  <c r="C1760" i="19"/>
  <c r="C1759" i="19"/>
  <c r="C1758" i="19"/>
  <c r="C1757" i="19"/>
  <c r="C1756" i="19"/>
  <c r="C1755" i="19"/>
  <c r="C1754" i="19"/>
  <c r="C1753" i="19"/>
  <c r="C1752" i="19"/>
  <c r="C1751" i="19"/>
  <c r="C1750" i="19"/>
  <c r="C1749" i="19"/>
  <c r="C1748" i="19"/>
  <c r="C1747" i="19"/>
  <c r="C1746" i="19"/>
  <c r="C1745" i="19"/>
  <c r="C1744" i="19"/>
  <c r="C1743" i="19"/>
  <c r="C1742" i="19"/>
  <c r="C1741" i="19"/>
  <c r="C1740" i="19"/>
  <c r="C1739" i="19"/>
  <c r="C1738" i="19"/>
  <c r="C1737" i="19"/>
  <c r="C1736" i="19"/>
  <c r="C1735" i="19"/>
  <c r="C1734" i="19"/>
  <c r="C1733" i="19"/>
  <c r="C1732" i="19"/>
  <c r="C1731" i="19"/>
  <c r="C1730" i="19"/>
  <c r="C1729" i="19"/>
  <c r="C1728" i="19"/>
  <c r="C1727" i="19"/>
  <c r="C1726" i="19"/>
  <c r="C1725" i="19"/>
  <c r="C1724" i="19"/>
  <c r="C1723" i="19"/>
  <c r="C1722" i="19"/>
  <c r="C1721" i="19"/>
  <c r="C1720" i="19"/>
  <c r="C1719" i="19"/>
  <c r="C1718" i="19"/>
  <c r="C1717" i="19"/>
  <c r="C1716" i="19"/>
  <c r="C1715" i="19"/>
  <c r="C1714" i="19"/>
  <c r="C1713" i="19"/>
  <c r="C1712" i="19"/>
  <c r="C1711" i="19"/>
  <c r="C1710" i="19"/>
  <c r="C1709" i="19"/>
  <c r="C1708" i="19"/>
  <c r="C1707" i="19"/>
  <c r="C1706" i="19"/>
  <c r="C1705" i="19"/>
  <c r="C1704" i="19"/>
  <c r="C1703" i="19"/>
  <c r="C1702" i="19"/>
  <c r="C1701" i="19"/>
  <c r="C1700" i="19"/>
  <c r="C1699" i="19"/>
  <c r="C1698" i="19"/>
  <c r="C1697" i="19"/>
  <c r="C1696" i="19"/>
  <c r="C1695" i="19"/>
  <c r="C1694" i="19"/>
  <c r="C1693" i="19"/>
  <c r="C1692" i="19"/>
  <c r="C1691" i="19"/>
  <c r="C1690" i="19"/>
  <c r="C1689" i="19"/>
  <c r="C1688" i="19"/>
  <c r="C1687" i="19"/>
  <c r="C1686" i="19"/>
  <c r="C1685" i="19"/>
  <c r="C1684" i="19"/>
  <c r="C1683" i="19"/>
  <c r="C1682" i="19"/>
  <c r="C1681" i="19"/>
  <c r="C1680" i="19"/>
  <c r="C1679" i="19"/>
  <c r="C1678" i="19"/>
  <c r="C1677" i="19"/>
  <c r="C1676" i="19"/>
  <c r="C1675" i="19"/>
  <c r="C1674" i="19"/>
  <c r="C1673" i="19"/>
  <c r="C1672" i="19"/>
  <c r="C1671" i="19"/>
  <c r="C1670" i="19"/>
  <c r="C1669" i="19"/>
  <c r="C1668" i="19"/>
  <c r="C1667" i="19"/>
  <c r="C1666" i="19"/>
  <c r="C1665" i="19"/>
  <c r="C1664" i="19"/>
  <c r="C1663" i="19"/>
  <c r="C1662" i="19"/>
  <c r="C1661" i="19"/>
  <c r="C1660" i="19"/>
  <c r="C1659" i="19"/>
  <c r="C1658" i="19"/>
  <c r="C1657" i="19"/>
  <c r="C1656" i="19"/>
  <c r="C1655" i="19"/>
  <c r="C1654" i="19"/>
  <c r="C1653" i="19"/>
  <c r="C1652" i="19"/>
  <c r="C1651" i="19"/>
  <c r="C1650" i="19"/>
  <c r="C1649" i="19"/>
  <c r="C1648" i="19"/>
  <c r="C1647" i="19"/>
  <c r="C1646" i="19"/>
  <c r="C1645" i="19"/>
  <c r="C1644" i="19"/>
  <c r="C1643" i="19"/>
  <c r="C1642" i="19"/>
  <c r="C1641" i="19"/>
  <c r="C1640" i="19"/>
  <c r="C1639" i="19"/>
  <c r="C1638" i="19"/>
  <c r="C1637" i="19"/>
  <c r="C1636" i="19"/>
  <c r="C1635" i="19"/>
  <c r="C1634" i="19"/>
  <c r="C1633" i="19"/>
  <c r="C1632" i="19"/>
  <c r="C1631" i="19"/>
  <c r="C1630" i="19"/>
  <c r="C1629" i="19"/>
  <c r="C1628" i="19"/>
  <c r="C1627" i="19"/>
  <c r="C1626" i="19"/>
  <c r="C1625" i="19"/>
  <c r="C1624" i="19"/>
  <c r="C1623" i="19"/>
  <c r="C1622" i="19"/>
  <c r="C1621" i="19"/>
  <c r="C1620" i="19"/>
  <c r="C1619" i="19"/>
  <c r="C1618" i="19"/>
  <c r="C1617" i="19"/>
  <c r="C1616" i="19"/>
  <c r="C1615" i="19"/>
  <c r="C1614" i="19"/>
  <c r="C1613" i="19"/>
  <c r="C1612" i="19"/>
  <c r="C1611" i="19"/>
  <c r="C1610" i="19"/>
  <c r="C1609" i="19"/>
  <c r="C1608" i="19"/>
  <c r="C1607" i="19"/>
  <c r="C1606" i="19"/>
  <c r="C1605" i="19"/>
  <c r="C1604" i="19"/>
  <c r="C1603" i="19"/>
  <c r="C1602" i="19"/>
  <c r="C1601" i="19"/>
  <c r="C1600" i="19"/>
  <c r="C1599" i="19"/>
  <c r="C1598" i="19"/>
  <c r="C1597" i="19"/>
  <c r="C1596" i="19"/>
  <c r="C1595" i="19"/>
  <c r="C1594" i="19"/>
  <c r="C1593" i="19"/>
  <c r="C1592" i="19"/>
  <c r="C1591" i="19"/>
  <c r="C1590" i="19"/>
  <c r="C1589" i="19"/>
  <c r="C1588" i="19"/>
  <c r="C1587" i="19"/>
  <c r="C1586" i="19"/>
  <c r="C1585" i="19"/>
  <c r="C1584" i="19"/>
  <c r="C1583" i="19"/>
  <c r="C1582" i="19"/>
  <c r="C1581" i="19"/>
  <c r="C1580" i="19"/>
  <c r="C1579" i="19"/>
  <c r="C1578" i="19"/>
  <c r="C1577" i="19"/>
  <c r="C1576" i="19"/>
  <c r="C1575" i="19"/>
  <c r="C1574" i="19"/>
  <c r="C1573" i="19"/>
  <c r="C1572" i="19"/>
  <c r="C1571" i="19"/>
  <c r="C1570" i="19"/>
  <c r="C1569" i="19"/>
  <c r="C1568" i="19"/>
  <c r="C1567" i="19"/>
  <c r="C1566" i="19"/>
  <c r="C1565" i="19"/>
  <c r="C1564" i="19"/>
  <c r="C1563" i="19"/>
  <c r="C1562" i="19"/>
  <c r="C1561" i="19"/>
  <c r="C1560" i="19"/>
  <c r="C1559" i="19"/>
  <c r="C1558" i="19"/>
  <c r="C1557" i="19"/>
  <c r="C1556" i="19"/>
  <c r="C1555" i="19"/>
  <c r="C1554" i="19"/>
  <c r="C1553" i="19"/>
  <c r="C1552" i="19"/>
  <c r="C1551" i="19"/>
  <c r="C1550" i="19"/>
  <c r="C1549" i="19"/>
  <c r="C1548" i="19"/>
  <c r="C1547" i="19"/>
  <c r="C1546" i="19"/>
  <c r="C1545" i="19"/>
  <c r="C1544" i="19"/>
  <c r="C1543" i="19"/>
  <c r="C1542" i="19"/>
  <c r="C1541" i="19"/>
  <c r="C1540" i="19"/>
  <c r="C1539" i="19"/>
  <c r="C1538" i="19"/>
  <c r="C1537" i="19"/>
  <c r="C1536" i="19"/>
  <c r="C1535" i="19"/>
  <c r="C1534" i="19"/>
  <c r="C1533" i="19"/>
  <c r="C1532" i="19"/>
  <c r="C1531" i="19"/>
  <c r="C1530" i="19"/>
  <c r="C1529" i="19"/>
  <c r="C1528" i="19"/>
  <c r="C1527" i="19"/>
  <c r="C1526" i="19"/>
  <c r="C1525" i="19"/>
  <c r="C1524" i="19"/>
  <c r="C1523" i="19"/>
  <c r="C1522" i="19"/>
  <c r="C1521" i="19"/>
  <c r="C1520" i="19"/>
  <c r="C1519" i="19"/>
  <c r="C1518" i="19"/>
  <c r="C1517" i="19"/>
  <c r="C1516" i="19"/>
  <c r="C1515" i="19"/>
  <c r="C1514" i="19"/>
  <c r="C1513" i="19"/>
  <c r="C1512" i="19"/>
  <c r="C1511" i="19"/>
  <c r="C1510" i="19"/>
  <c r="C1509" i="19"/>
  <c r="C1508" i="19"/>
  <c r="C1507" i="19"/>
  <c r="C1506" i="19"/>
  <c r="C1505" i="19"/>
  <c r="C1504" i="19"/>
  <c r="C1503" i="19"/>
  <c r="C1502" i="19"/>
  <c r="C1501" i="19"/>
  <c r="C1500" i="19"/>
  <c r="C1499" i="19"/>
  <c r="C1498" i="19"/>
  <c r="C1497" i="19"/>
  <c r="C1496" i="19"/>
  <c r="C1495" i="19"/>
  <c r="C1494" i="19"/>
  <c r="C1493" i="19"/>
  <c r="C1492" i="19"/>
  <c r="C1491" i="19"/>
  <c r="C1490" i="19"/>
  <c r="C1489" i="19"/>
  <c r="C1488" i="19"/>
  <c r="C1487" i="19"/>
  <c r="C1486" i="19"/>
  <c r="C1485" i="19"/>
  <c r="C1484" i="19"/>
  <c r="C1483" i="19"/>
  <c r="C1482" i="19"/>
  <c r="C1481" i="19"/>
  <c r="C1480" i="19"/>
  <c r="C1479" i="19"/>
  <c r="C1478" i="19"/>
  <c r="C1477" i="19"/>
  <c r="C1476" i="19"/>
  <c r="C1475" i="19"/>
  <c r="C1474" i="19"/>
  <c r="C1473" i="19"/>
  <c r="C1472" i="19"/>
  <c r="C1471" i="19"/>
  <c r="C1470" i="19"/>
  <c r="C1469" i="19"/>
  <c r="C1468" i="19"/>
  <c r="C1467" i="19"/>
  <c r="C1466" i="19"/>
  <c r="C1465" i="19"/>
  <c r="C1464" i="19"/>
  <c r="C1463" i="19"/>
  <c r="C1462" i="19"/>
  <c r="C1461" i="19"/>
  <c r="C1460" i="19"/>
  <c r="C1459" i="19"/>
  <c r="C1458" i="19"/>
  <c r="C1457" i="19"/>
  <c r="C1456" i="19"/>
  <c r="C1455" i="19"/>
  <c r="C1454" i="19"/>
  <c r="C1453" i="19"/>
  <c r="C1452" i="19"/>
  <c r="C1451" i="19"/>
  <c r="C1450" i="19"/>
  <c r="C1449" i="19"/>
  <c r="C1448" i="19"/>
  <c r="C1447" i="19"/>
  <c r="C1446" i="19"/>
  <c r="C1445" i="19"/>
  <c r="C1444" i="19"/>
  <c r="C1443" i="19"/>
  <c r="C1442" i="19"/>
  <c r="C1441" i="19"/>
  <c r="C1440" i="19"/>
  <c r="C1439" i="19"/>
  <c r="C1438" i="19"/>
  <c r="C1437" i="19"/>
  <c r="C1436" i="19"/>
  <c r="C1435" i="19"/>
  <c r="C1434" i="19"/>
  <c r="C1433" i="19"/>
  <c r="C1432" i="19"/>
  <c r="C1431" i="19"/>
  <c r="C1430" i="19"/>
  <c r="C1429" i="19"/>
  <c r="C1428" i="19"/>
  <c r="C1427" i="19"/>
  <c r="C1426" i="19"/>
  <c r="C1425" i="19"/>
  <c r="C1424" i="19"/>
  <c r="C1423" i="19"/>
  <c r="C1422" i="19"/>
  <c r="C1421" i="19"/>
  <c r="C1420" i="19"/>
  <c r="C1419" i="19"/>
  <c r="C1418" i="19"/>
  <c r="C1417" i="19"/>
  <c r="C1416" i="19"/>
  <c r="C1415" i="19"/>
  <c r="C1414" i="19"/>
  <c r="C1413" i="19"/>
  <c r="C1412" i="19"/>
  <c r="C1411" i="19"/>
  <c r="C1410" i="19"/>
  <c r="C1409" i="19"/>
  <c r="C1408" i="19"/>
  <c r="C1407" i="19"/>
  <c r="C1406" i="19"/>
  <c r="C1405" i="19"/>
  <c r="C1404" i="19"/>
  <c r="C1403" i="19"/>
  <c r="C1402" i="19"/>
  <c r="C1401" i="19"/>
  <c r="C1400" i="19"/>
  <c r="C1399" i="19"/>
  <c r="C1398" i="19"/>
  <c r="C1397" i="19"/>
  <c r="C1396" i="19"/>
  <c r="C1395" i="19"/>
  <c r="C1394" i="19"/>
  <c r="C1393" i="19"/>
  <c r="C1392" i="19"/>
  <c r="C1391" i="19"/>
  <c r="C1390" i="19"/>
  <c r="C1389" i="19"/>
  <c r="C1388" i="19"/>
  <c r="C1387" i="19"/>
  <c r="C1386" i="19"/>
  <c r="C1385" i="19"/>
  <c r="C1384" i="19"/>
  <c r="C1383" i="19"/>
  <c r="C1382" i="19"/>
  <c r="C1381" i="19"/>
  <c r="C1380" i="19"/>
  <c r="C1379" i="19"/>
  <c r="C1378" i="19"/>
  <c r="C1377" i="19"/>
  <c r="C1376" i="19"/>
  <c r="C1375" i="19"/>
  <c r="C1374" i="19"/>
  <c r="C1373" i="19"/>
  <c r="C1372" i="19"/>
  <c r="C1371" i="19"/>
  <c r="C1370" i="19"/>
  <c r="C1369" i="19"/>
  <c r="C1368" i="19"/>
  <c r="C1367" i="19"/>
  <c r="C1366" i="19"/>
  <c r="C1365" i="19"/>
  <c r="C1364" i="19"/>
  <c r="C1363" i="19"/>
  <c r="C1362" i="19"/>
  <c r="C1361" i="19"/>
  <c r="C1360" i="19"/>
  <c r="C1359" i="19"/>
  <c r="C1358" i="19"/>
  <c r="C1357" i="19"/>
  <c r="C1356" i="19"/>
  <c r="C1355" i="19"/>
  <c r="C1354" i="19"/>
  <c r="C1353" i="19"/>
  <c r="C1352" i="19"/>
  <c r="C1351" i="19"/>
  <c r="C1350" i="19"/>
  <c r="C1349" i="19"/>
  <c r="C1348" i="19"/>
  <c r="C1347" i="19"/>
  <c r="C1346" i="19"/>
  <c r="C1345" i="19"/>
  <c r="C1344" i="19"/>
  <c r="C1343" i="19"/>
  <c r="C1342" i="19"/>
  <c r="C1341" i="19"/>
  <c r="C1340" i="19"/>
  <c r="C1339" i="19"/>
  <c r="C1338" i="19"/>
  <c r="C1337" i="19"/>
  <c r="C1336" i="19"/>
  <c r="C1335" i="19"/>
  <c r="C1334" i="19"/>
  <c r="C1333" i="19"/>
  <c r="C1332" i="19"/>
  <c r="C1331" i="19"/>
  <c r="C1330" i="19"/>
  <c r="C1329" i="19"/>
  <c r="C1328" i="19"/>
  <c r="C1327" i="19"/>
  <c r="C1326" i="19"/>
  <c r="C1325" i="19"/>
  <c r="C1324" i="19"/>
  <c r="C1323" i="19"/>
  <c r="C1322" i="19"/>
  <c r="C1321" i="19"/>
  <c r="C1320" i="19"/>
  <c r="C1319" i="19"/>
  <c r="C1318" i="19"/>
  <c r="C1317" i="19"/>
  <c r="C1316" i="19"/>
  <c r="C1315" i="19"/>
  <c r="C1314" i="19"/>
  <c r="C1313" i="19"/>
  <c r="C1312" i="19"/>
  <c r="C1311" i="19"/>
  <c r="C1310" i="19"/>
  <c r="C1309" i="19"/>
  <c r="C1308" i="19"/>
  <c r="C1307" i="19"/>
  <c r="C1306" i="19"/>
  <c r="C1305" i="19"/>
  <c r="C1304" i="19"/>
  <c r="C1303" i="19"/>
  <c r="C1302" i="19"/>
  <c r="C1301" i="19"/>
  <c r="C1300" i="19"/>
  <c r="C1299" i="19"/>
  <c r="C1298" i="19"/>
  <c r="C1297" i="19"/>
  <c r="C1296" i="19"/>
  <c r="C1295" i="19"/>
  <c r="C1294" i="19"/>
  <c r="C1293" i="19"/>
  <c r="C1292" i="19"/>
  <c r="C1291" i="19"/>
  <c r="C1290" i="19"/>
  <c r="C1289" i="19"/>
  <c r="C1288" i="19"/>
  <c r="C1287" i="19"/>
  <c r="C1286" i="19"/>
  <c r="C1285" i="19"/>
  <c r="C1284" i="19"/>
  <c r="C1283" i="19"/>
  <c r="C1282" i="19"/>
  <c r="C1281" i="19"/>
  <c r="C1280" i="19"/>
  <c r="C1279" i="19"/>
  <c r="C1278" i="19"/>
  <c r="C1277" i="19"/>
  <c r="C1276" i="19"/>
  <c r="C1275" i="19"/>
  <c r="C1274" i="19"/>
  <c r="C1273" i="19"/>
  <c r="C1272" i="19"/>
  <c r="C1271" i="19"/>
  <c r="C1270" i="19"/>
  <c r="C1269" i="19"/>
  <c r="C1268" i="19"/>
  <c r="C1267" i="19"/>
  <c r="C1266" i="19"/>
  <c r="C1265" i="19"/>
  <c r="C1264" i="19"/>
  <c r="C1263" i="19"/>
  <c r="C1262" i="19"/>
  <c r="C1261" i="19"/>
  <c r="C1260" i="19"/>
  <c r="C1259" i="19"/>
  <c r="C1258" i="19"/>
  <c r="C1257" i="19"/>
  <c r="C1256" i="19"/>
  <c r="C1255" i="19"/>
  <c r="C1254" i="19"/>
  <c r="C1253" i="19"/>
  <c r="C1252" i="19"/>
  <c r="C1251" i="19"/>
  <c r="C1250" i="19"/>
  <c r="C1249" i="19"/>
  <c r="C1248" i="19"/>
  <c r="C1247" i="19"/>
  <c r="C1246" i="19"/>
  <c r="C1245" i="19"/>
  <c r="C1244" i="19"/>
  <c r="C1243" i="19"/>
  <c r="C1242" i="19"/>
  <c r="C1241" i="19"/>
  <c r="C1240" i="19"/>
  <c r="C1239" i="19"/>
  <c r="C1238" i="19"/>
  <c r="C1237" i="19"/>
  <c r="C1236" i="19"/>
  <c r="C1235" i="19"/>
  <c r="C1234" i="19"/>
  <c r="C1233" i="19"/>
  <c r="C1232" i="19"/>
  <c r="C1231" i="19"/>
  <c r="C1230" i="19"/>
  <c r="C1229" i="19"/>
  <c r="C1228" i="19"/>
  <c r="C1227" i="19"/>
  <c r="C1226" i="19"/>
  <c r="C1225" i="19"/>
  <c r="C1224" i="19"/>
  <c r="C1223" i="19"/>
  <c r="C1222" i="19"/>
  <c r="C1221" i="19"/>
  <c r="C1220" i="19"/>
  <c r="C1219" i="19"/>
  <c r="C1218" i="19"/>
  <c r="C1217" i="19"/>
  <c r="C1216" i="19"/>
  <c r="C1215" i="19"/>
  <c r="C1214" i="19"/>
  <c r="C1213" i="19"/>
  <c r="C1212" i="19"/>
  <c r="C1211" i="19"/>
  <c r="C1210" i="19"/>
  <c r="C1209" i="19"/>
  <c r="C1208" i="19"/>
  <c r="C1207" i="19"/>
  <c r="C1206" i="19"/>
  <c r="C1205" i="19"/>
  <c r="C1204" i="19"/>
  <c r="C1203" i="19"/>
  <c r="C1202" i="19"/>
  <c r="C1201" i="19"/>
  <c r="C1200" i="19"/>
  <c r="C1199" i="19"/>
  <c r="C1198" i="19"/>
  <c r="C1197" i="19"/>
  <c r="C1196" i="19"/>
  <c r="C1195" i="19"/>
  <c r="C1194" i="19"/>
  <c r="C1193" i="19"/>
  <c r="C1192" i="19"/>
  <c r="C1191" i="19"/>
  <c r="C1190" i="19"/>
  <c r="C1189" i="19"/>
  <c r="C1188" i="19"/>
  <c r="C1187" i="19"/>
  <c r="C1186" i="19"/>
  <c r="C1185" i="19"/>
  <c r="C1184" i="19"/>
  <c r="C1183" i="19"/>
  <c r="C1182" i="19"/>
  <c r="C1181" i="19"/>
  <c r="C1180" i="19"/>
  <c r="C1179" i="19"/>
  <c r="C1178" i="19"/>
  <c r="C1177" i="19"/>
  <c r="C1176" i="19"/>
  <c r="C1175" i="19"/>
  <c r="C1174" i="19"/>
  <c r="C1173" i="19"/>
  <c r="C1172" i="19"/>
  <c r="C1171" i="19"/>
  <c r="C1170" i="19"/>
  <c r="C1169" i="19"/>
  <c r="C1168" i="19"/>
  <c r="C1167" i="19"/>
  <c r="C1166" i="19"/>
  <c r="C1165" i="19"/>
  <c r="C1164" i="19"/>
  <c r="C1163" i="19"/>
  <c r="C1162" i="19"/>
  <c r="C1161" i="19"/>
  <c r="C1160" i="19"/>
  <c r="C1159" i="19"/>
  <c r="C1158" i="19"/>
  <c r="C1157" i="19"/>
  <c r="C1156" i="19"/>
  <c r="C1155" i="19"/>
  <c r="C1154" i="19"/>
  <c r="C1153" i="19"/>
  <c r="C1152" i="19"/>
  <c r="C1151" i="19"/>
  <c r="C1150" i="19"/>
  <c r="C1149" i="19"/>
  <c r="C1148" i="19"/>
  <c r="C1147" i="19"/>
  <c r="C1146" i="19"/>
  <c r="C1145" i="19"/>
  <c r="C1144" i="19"/>
  <c r="C1143" i="19"/>
  <c r="C1142" i="19"/>
  <c r="C1141" i="19"/>
  <c r="C1140" i="19"/>
  <c r="C1139" i="19"/>
  <c r="C1138" i="19"/>
  <c r="C1137" i="19"/>
  <c r="C1136" i="19"/>
  <c r="C1135" i="19"/>
  <c r="C1134" i="19"/>
  <c r="C1133" i="19"/>
  <c r="C1132" i="19"/>
  <c r="C1131" i="19"/>
  <c r="C1130" i="19"/>
  <c r="C1129" i="19"/>
  <c r="C1128" i="19"/>
  <c r="C1127" i="19"/>
  <c r="C1126" i="19"/>
  <c r="C1125" i="19"/>
  <c r="C1124" i="19"/>
  <c r="C1123" i="19"/>
  <c r="C1122" i="19"/>
  <c r="C1121" i="19"/>
  <c r="C1120" i="19"/>
  <c r="C1119" i="19"/>
  <c r="C1118" i="19"/>
  <c r="C1117" i="19"/>
  <c r="C1116" i="19"/>
  <c r="C1115" i="19"/>
  <c r="C1114" i="19"/>
  <c r="C1113" i="19"/>
  <c r="C1112" i="19"/>
  <c r="C1111" i="19"/>
  <c r="C1110" i="19"/>
  <c r="C1109" i="19"/>
  <c r="C1108" i="19"/>
  <c r="C1107" i="19"/>
  <c r="C1106" i="19"/>
  <c r="C1105" i="19"/>
  <c r="C1104" i="19"/>
  <c r="C1103" i="19"/>
  <c r="C1102" i="19"/>
  <c r="C1101" i="19"/>
  <c r="C1100" i="19"/>
  <c r="C1099" i="19"/>
  <c r="C1098" i="19"/>
  <c r="C1097" i="19"/>
  <c r="C1096" i="19"/>
  <c r="C1095" i="19"/>
  <c r="C1094" i="19"/>
  <c r="C1093" i="19"/>
  <c r="C1092" i="19"/>
  <c r="C1091" i="19"/>
  <c r="C1090" i="19"/>
  <c r="C1089" i="19"/>
  <c r="C1088" i="19"/>
  <c r="C1087" i="19"/>
  <c r="C1086" i="19"/>
  <c r="C1085" i="19"/>
  <c r="C1084" i="19"/>
  <c r="C1083" i="19"/>
  <c r="C1082" i="19"/>
  <c r="C1081" i="19"/>
  <c r="C1080" i="19"/>
  <c r="C1079" i="19"/>
  <c r="C1078" i="19"/>
  <c r="C1077" i="19"/>
  <c r="C1076" i="19"/>
  <c r="C1075" i="19"/>
  <c r="C1074" i="19"/>
  <c r="C1073" i="19"/>
  <c r="C1072" i="19"/>
  <c r="C1071" i="19"/>
  <c r="C1070" i="19"/>
  <c r="C1069" i="19"/>
  <c r="C1068" i="19"/>
  <c r="C1067" i="19"/>
  <c r="C1066" i="19"/>
  <c r="C1065" i="19"/>
  <c r="C1064" i="19"/>
  <c r="C1063" i="19"/>
  <c r="C1062" i="19"/>
  <c r="C1061" i="19"/>
  <c r="C1060" i="19"/>
  <c r="C1059" i="19"/>
  <c r="C1058" i="19"/>
  <c r="C1057" i="19"/>
  <c r="C1056" i="19"/>
  <c r="C1055" i="19"/>
  <c r="C1054" i="19"/>
  <c r="C1053" i="19"/>
  <c r="C1052" i="19"/>
  <c r="C1051" i="19"/>
  <c r="C1050" i="19"/>
  <c r="C1049" i="19"/>
  <c r="C1048" i="19"/>
  <c r="C1047" i="19"/>
  <c r="C1046" i="19"/>
  <c r="C1045" i="19"/>
  <c r="C1044" i="19"/>
  <c r="C1043" i="19"/>
  <c r="C1042" i="19"/>
  <c r="C1041" i="19"/>
  <c r="C1040" i="19"/>
  <c r="C1039" i="19"/>
  <c r="C1038" i="19"/>
  <c r="C1037" i="19"/>
  <c r="C1036" i="19"/>
  <c r="C1035" i="19"/>
  <c r="C1034" i="19"/>
  <c r="C1033" i="19"/>
  <c r="C1032" i="19"/>
  <c r="C1031" i="19"/>
  <c r="C1030" i="19"/>
  <c r="C1029" i="19"/>
  <c r="C1028" i="19"/>
  <c r="C1027" i="19"/>
  <c r="C1026" i="19"/>
  <c r="C1025" i="19"/>
  <c r="C1024" i="19"/>
  <c r="C1023" i="19"/>
  <c r="C1022" i="19"/>
  <c r="C1021" i="19"/>
  <c r="C1020" i="19"/>
  <c r="C1019" i="19"/>
  <c r="C1018" i="19"/>
  <c r="C1017" i="19"/>
  <c r="C1016" i="19"/>
  <c r="C1015" i="19"/>
  <c r="C1014" i="19"/>
  <c r="C1013" i="19"/>
  <c r="C1012" i="19"/>
  <c r="C1011" i="19"/>
  <c r="C1010" i="19"/>
  <c r="C1009" i="19"/>
  <c r="C1008" i="19"/>
  <c r="C1007" i="19"/>
  <c r="C1006" i="19"/>
  <c r="C1005" i="19"/>
  <c r="C1004" i="19"/>
  <c r="C1003" i="19"/>
  <c r="C1002" i="19"/>
  <c r="C1001" i="19"/>
  <c r="C1000" i="19"/>
  <c r="C999" i="19"/>
  <c r="C998" i="19"/>
  <c r="C997" i="19"/>
  <c r="C996" i="19"/>
  <c r="C995" i="19"/>
  <c r="C994" i="19"/>
  <c r="C993" i="19"/>
  <c r="C992" i="19"/>
  <c r="C991" i="19"/>
  <c r="C990" i="19"/>
  <c r="C989" i="19"/>
  <c r="C988" i="19"/>
  <c r="C987" i="19"/>
  <c r="C986" i="19"/>
  <c r="C985" i="19"/>
  <c r="C984" i="19"/>
  <c r="C983" i="19"/>
  <c r="C982" i="19"/>
  <c r="C981" i="19"/>
  <c r="C980" i="19"/>
  <c r="C979" i="19"/>
  <c r="C978" i="19"/>
  <c r="C977" i="19"/>
  <c r="C976" i="19"/>
  <c r="C975" i="19"/>
  <c r="C974" i="19"/>
  <c r="C973" i="19"/>
  <c r="C972" i="19"/>
  <c r="C971" i="19"/>
  <c r="C970" i="19"/>
  <c r="C969" i="19"/>
  <c r="C968" i="19"/>
  <c r="C967" i="19"/>
  <c r="C966" i="19"/>
  <c r="C965" i="19"/>
  <c r="C964" i="19"/>
  <c r="C963" i="19"/>
  <c r="C962" i="19"/>
  <c r="C961" i="19"/>
  <c r="C960" i="19"/>
  <c r="C959" i="19"/>
  <c r="C958" i="19"/>
  <c r="C957" i="19"/>
  <c r="C956" i="19"/>
  <c r="C955" i="19"/>
  <c r="C954" i="19"/>
  <c r="C953" i="19"/>
  <c r="C952" i="19"/>
  <c r="C951" i="19"/>
  <c r="C950" i="19"/>
  <c r="C949" i="19"/>
  <c r="C948" i="19"/>
  <c r="C947" i="19"/>
  <c r="C946" i="19"/>
  <c r="C945" i="19"/>
  <c r="C944" i="19"/>
  <c r="C943" i="19"/>
  <c r="C942" i="19"/>
  <c r="C941" i="19"/>
  <c r="C940" i="19"/>
  <c r="C939" i="19"/>
  <c r="C938" i="19"/>
  <c r="C937" i="19"/>
  <c r="C936" i="19"/>
  <c r="C935" i="19"/>
  <c r="C934" i="19"/>
  <c r="C933" i="19"/>
  <c r="C932" i="19"/>
  <c r="C931" i="19"/>
  <c r="C930" i="19"/>
  <c r="C929" i="19"/>
  <c r="C928" i="19"/>
  <c r="C927" i="19"/>
  <c r="C926" i="19"/>
  <c r="C925" i="19"/>
  <c r="C924" i="19"/>
  <c r="C923" i="19"/>
  <c r="C922" i="19"/>
  <c r="C921" i="19"/>
  <c r="C920" i="19"/>
  <c r="C919" i="19"/>
  <c r="C918" i="19"/>
  <c r="C917" i="19"/>
  <c r="C916" i="19"/>
  <c r="C915" i="19"/>
  <c r="C914" i="19"/>
  <c r="C913" i="19"/>
  <c r="C912" i="19"/>
  <c r="C911" i="19"/>
  <c r="C910" i="19"/>
  <c r="C909" i="19"/>
  <c r="C908" i="19"/>
  <c r="C907" i="19"/>
  <c r="C906" i="19"/>
  <c r="C905" i="19"/>
  <c r="C904" i="19"/>
  <c r="C903" i="19"/>
  <c r="C902" i="19"/>
  <c r="C901" i="19"/>
  <c r="C900" i="19"/>
  <c r="C899" i="19"/>
  <c r="C898" i="19"/>
  <c r="C897" i="19"/>
  <c r="C896" i="19"/>
  <c r="C895" i="19"/>
  <c r="C894" i="19"/>
  <c r="C893" i="19"/>
  <c r="C892" i="19"/>
  <c r="C891" i="19"/>
  <c r="C890" i="19"/>
  <c r="C889" i="19"/>
  <c r="C888" i="19"/>
  <c r="C887" i="19"/>
  <c r="C886" i="19"/>
  <c r="C885" i="19"/>
  <c r="C884" i="19"/>
  <c r="C883" i="19"/>
  <c r="C882" i="19"/>
  <c r="C881" i="19"/>
  <c r="C880" i="19"/>
  <c r="C879" i="19"/>
  <c r="C878" i="19"/>
  <c r="C877" i="19"/>
  <c r="C876" i="19"/>
  <c r="C875" i="19"/>
  <c r="C874" i="19"/>
  <c r="C873" i="19"/>
  <c r="C872" i="19"/>
  <c r="C871" i="19"/>
  <c r="C870" i="19"/>
  <c r="C869" i="19"/>
  <c r="C868" i="19"/>
  <c r="C867" i="19"/>
  <c r="C866" i="19"/>
  <c r="C865" i="19"/>
  <c r="C864" i="19"/>
  <c r="C863" i="19"/>
  <c r="C862" i="19"/>
  <c r="C861" i="19"/>
  <c r="C860" i="19"/>
  <c r="C859" i="19"/>
  <c r="C858" i="19"/>
  <c r="C857" i="19"/>
  <c r="C856" i="19"/>
  <c r="C855" i="19"/>
  <c r="C854" i="19"/>
  <c r="C853" i="19"/>
  <c r="C852" i="19"/>
  <c r="C851" i="19"/>
  <c r="C850" i="19"/>
  <c r="C849" i="19"/>
  <c r="C848" i="19"/>
  <c r="C847" i="19"/>
  <c r="C846" i="19"/>
  <c r="C845" i="19"/>
  <c r="C844" i="19"/>
  <c r="C843" i="19"/>
  <c r="C842" i="19"/>
  <c r="C841" i="19"/>
  <c r="C840" i="19"/>
  <c r="C839" i="19"/>
  <c r="C838" i="19"/>
  <c r="C837" i="19"/>
  <c r="C836" i="19"/>
  <c r="C835" i="19"/>
  <c r="C834" i="19"/>
  <c r="C833" i="19"/>
  <c r="C832" i="19"/>
  <c r="C831" i="19"/>
  <c r="C830" i="19"/>
  <c r="C829" i="19"/>
  <c r="C828" i="19"/>
  <c r="C827" i="19"/>
  <c r="C826" i="19"/>
  <c r="C825" i="19"/>
  <c r="C824" i="19"/>
  <c r="C823" i="19"/>
  <c r="C822" i="19"/>
  <c r="C821" i="19"/>
  <c r="C820" i="19"/>
  <c r="C819" i="19"/>
  <c r="C818" i="19"/>
  <c r="C817" i="19"/>
  <c r="C816" i="19"/>
  <c r="C815" i="19"/>
  <c r="C814" i="19"/>
  <c r="C813" i="19"/>
  <c r="C812" i="19"/>
  <c r="C811" i="19"/>
  <c r="C810" i="19"/>
  <c r="C809" i="19"/>
  <c r="C808" i="19"/>
  <c r="C807" i="19"/>
  <c r="C806" i="19"/>
  <c r="C805" i="19"/>
  <c r="C804" i="19"/>
  <c r="C803" i="19"/>
  <c r="C802" i="19"/>
  <c r="C801" i="19"/>
  <c r="C800" i="19"/>
  <c r="C799" i="19"/>
  <c r="C798" i="19"/>
  <c r="C797" i="19"/>
  <c r="C796" i="19"/>
  <c r="C795" i="19"/>
  <c r="C794" i="19"/>
  <c r="C793" i="19"/>
  <c r="C792" i="19"/>
  <c r="C791" i="19"/>
  <c r="C790" i="19"/>
  <c r="C789" i="19"/>
  <c r="C788" i="19"/>
  <c r="C787" i="19"/>
  <c r="C786" i="19"/>
  <c r="C785" i="19"/>
  <c r="C784" i="19"/>
  <c r="C783" i="19"/>
  <c r="C782" i="19"/>
  <c r="C781" i="19"/>
  <c r="C780" i="19"/>
  <c r="C779" i="19"/>
  <c r="C778" i="19"/>
  <c r="C777" i="19"/>
  <c r="C776" i="19"/>
  <c r="C775" i="19"/>
  <c r="C774" i="19"/>
  <c r="C773" i="19"/>
  <c r="C772" i="19"/>
  <c r="C771" i="19"/>
  <c r="C770" i="19"/>
  <c r="C769" i="19"/>
  <c r="C768" i="19"/>
  <c r="C767" i="19"/>
  <c r="C766" i="19"/>
  <c r="C765" i="19"/>
  <c r="C764" i="19"/>
  <c r="C763" i="19"/>
  <c r="C762" i="19"/>
  <c r="C761" i="19"/>
  <c r="C760" i="19"/>
  <c r="C759" i="19"/>
  <c r="C758" i="19"/>
  <c r="C757" i="19"/>
  <c r="C756" i="19"/>
  <c r="C755" i="19"/>
  <c r="C754" i="19"/>
  <c r="C753" i="19"/>
  <c r="C752" i="19"/>
  <c r="C751" i="19"/>
  <c r="C750" i="19"/>
  <c r="C749" i="19"/>
  <c r="C748" i="19"/>
  <c r="C747" i="19"/>
  <c r="C746" i="19"/>
  <c r="C745" i="19"/>
  <c r="C744" i="19"/>
  <c r="C743" i="19"/>
  <c r="C742" i="19"/>
  <c r="C741" i="19"/>
  <c r="C740" i="19"/>
  <c r="C739" i="19"/>
  <c r="C738" i="19"/>
  <c r="C737" i="19"/>
  <c r="C736" i="19"/>
  <c r="C735" i="19"/>
  <c r="C734" i="19"/>
  <c r="C733" i="19"/>
  <c r="C732" i="19"/>
  <c r="C731" i="19"/>
  <c r="C730" i="19"/>
  <c r="C729" i="19"/>
  <c r="C728" i="19"/>
  <c r="C727" i="19"/>
  <c r="C726" i="19"/>
  <c r="C725" i="19"/>
  <c r="C724" i="19"/>
  <c r="C723" i="19"/>
  <c r="C722" i="19"/>
  <c r="C721" i="19"/>
  <c r="C720" i="19"/>
  <c r="C719" i="19"/>
  <c r="C718" i="19"/>
  <c r="C717" i="19"/>
  <c r="C716" i="19"/>
  <c r="C715" i="19"/>
  <c r="C714" i="19"/>
  <c r="C713" i="19"/>
  <c r="C712" i="19"/>
  <c r="C711" i="19"/>
  <c r="C710" i="19"/>
  <c r="C709" i="19"/>
  <c r="C708" i="19"/>
  <c r="C707" i="19"/>
  <c r="C706" i="19"/>
  <c r="C705" i="19"/>
  <c r="C704" i="19"/>
  <c r="C703" i="19"/>
  <c r="C702" i="19"/>
  <c r="C701" i="19"/>
  <c r="C700" i="19"/>
  <c r="C699" i="19"/>
  <c r="C698" i="19"/>
  <c r="C697" i="19"/>
  <c r="C696" i="19"/>
  <c r="C695" i="19"/>
  <c r="C694" i="19"/>
  <c r="C693" i="19"/>
  <c r="C692" i="19"/>
  <c r="C691" i="19"/>
  <c r="C690" i="19"/>
  <c r="C689" i="19"/>
  <c r="C688" i="19"/>
  <c r="C687" i="19"/>
  <c r="C686" i="19"/>
  <c r="C685" i="19"/>
  <c r="C684" i="19"/>
  <c r="C683" i="19"/>
  <c r="C682" i="19"/>
  <c r="C681" i="19"/>
  <c r="C680" i="19"/>
  <c r="C679" i="19"/>
  <c r="C678" i="19"/>
  <c r="C677" i="19"/>
  <c r="C676" i="19"/>
  <c r="C675" i="19"/>
  <c r="C674" i="19"/>
  <c r="C673" i="19"/>
  <c r="C672" i="19"/>
  <c r="C671" i="19"/>
  <c r="C670" i="19"/>
  <c r="C669" i="19"/>
  <c r="C668" i="19"/>
  <c r="C667" i="19"/>
  <c r="C666" i="19"/>
  <c r="C665" i="19"/>
  <c r="C664" i="19"/>
  <c r="C663" i="19"/>
  <c r="C662" i="19"/>
  <c r="C661" i="19"/>
  <c r="C660" i="19"/>
  <c r="C659" i="19"/>
  <c r="C658" i="19"/>
  <c r="C657" i="19"/>
  <c r="C656" i="19"/>
  <c r="C655" i="19"/>
  <c r="C654" i="19"/>
  <c r="C653" i="19"/>
  <c r="C652" i="19"/>
  <c r="C651" i="19"/>
  <c r="C650" i="19"/>
  <c r="C649" i="19"/>
  <c r="C648" i="19"/>
  <c r="C647" i="19"/>
  <c r="C646" i="19"/>
  <c r="C645" i="19"/>
  <c r="C644" i="19"/>
  <c r="C643" i="19"/>
  <c r="C642" i="19"/>
  <c r="C641" i="19"/>
  <c r="C640" i="19"/>
  <c r="C639" i="19"/>
  <c r="C638" i="19"/>
  <c r="C637" i="19"/>
  <c r="C636" i="19"/>
  <c r="C635" i="19"/>
  <c r="C634" i="19"/>
  <c r="C633" i="19"/>
  <c r="C632" i="19"/>
  <c r="C631" i="19"/>
  <c r="C630" i="19"/>
  <c r="C629" i="19"/>
  <c r="C628" i="19"/>
  <c r="C627" i="19"/>
  <c r="C626" i="19"/>
  <c r="C625" i="19"/>
  <c r="C624" i="19"/>
  <c r="C623" i="19"/>
  <c r="C622" i="19"/>
  <c r="C621" i="19"/>
  <c r="C620" i="19"/>
  <c r="C619" i="19"/>
  <c r="C618" i="19"/>
  <c r="C617" i="19"/>
  <c r="C616" i="19"/>
  <c r="C615" i="19"/>
  <c r="C614" i="19"/>
  <c r="C613" i="19"/>
  <c r="C612" i="19"/>
  <c r="C611" i="19"/>
  <c r="C610" i="19"/>
  <c r="C609" i="19"/>
  <c r="C608" i="19"/>
  <c r="C607" i="19"/>
  <c r="C606" i="19"/>
  <c r="C605" i="19"/>
  <c r="C604" i="19"/>
  <c r="C603" i="19"/>
  <c r="C602" i="19"/>
  <c r="C601" i="19"/>
  <c r="C600" i="19"/>
  <c r="C599" i="19"/>
  <c r="C598" i="19"/>
  <c r="C597" i="19"/>
  <c r="C596" i="19"/>
  <c r="C595" i="19"/>
  <c r="C594" i="19"/>
  <c r="C593" i="19"/>
  <c r="C592" i="19"/>
  <c r="C591" i="19"/>
  <c r="C590" i="19"/>
  <c r="C589" i="19"/>
  <c r="C588" i="19"/>
  <c r="C587" i="19"/>
  <c r="C586" i="19"/>
  <c r="C585" i="19"/>
  <c r="C584" i="19"/>
  <c r="C583" i="19"/>
  <c r="C582" i="19"/>
  <c r="C581" i="19"/>
  <c r="C580" i="19"/>
  <c r="C579" i="19"/>
  <c r="C578" i="19"/>
  <c r="C577" i="19"/>
  <c r="C576" i="19"/>
  <c r="C575" i="19"/>
  <c r="C574" i="19"/>
  <c r="C573" i="19"/>
  <c r="C572" i="19"/>
  <c r="C571" i="19"/>
  <c r="C570" i="19"/>
  <c r="C569" i="19"/>
  <c r="C568" i="19"/>
  <c r="C567" i="19"/>
  <c r="C566" i="19"/>
  <c r="C565" i="19"/>
  <c r="C564" i="19"/>
  <c r="C563" i="19"/>
  <c r="C562" i="19"/>
  <c r="C561" i="19"/>
  <c r="C560" i="19"/>
  <c r="C559" i="19"/>
  <c r="C558" i="19"/>
  <c r="C557" i="19"/>
  <c r="C556" i="19"/>
  <c r="C555" i="19"/>
  <c r="C554" i="19"/>
  <c r="C553" i="19"/>
  <c r="C552" i="19"/>
  <c r="C551" i="19"/>
  <c r="C550" i="19"/>
  <c r="C549" i="19"/>
  <c r="C548" i="19"/>
  <c r="C547" i="19"/>
  <c r="C546" i="19"/>
  <c r="C545" i="19"/>
  <c r="C544" i="19"/>
  <c r="C543" i="19"/>
  <c r="C542" i="19"/>
  <c r="C541" i="19"/>
  <c r="C540" i="19"/>
  <c r="C539" i="19"/>
  <c r="C538" i="19"/>
  <c r="C537" i="19"/>
  <c r="C536" i="19"/>
  <c r="C535" i="19"/>
  <c r="C534" i="19"/>
  <c r="C533" i="19"/>
  <c r="C532" i="19"/>
  <c r="C531" i="19"/>
  <c r="C530" i="19"/>
  <c r="C529" i="19"/>
  <c r="C528" i="19"/>
  <c r="C527" i="19"/>
  <c r="C526" i="19"/>
  <c r="C525" i="19"/>
  <c r="C524" i="19"/>
  <c r="C523" i="19"/>
  <c r="C522" i="19"/>
  <c r="C521" i="19"/>
  <c r="C520" i="19"/>
  <c r="C519" i="19"/>
  <c r="C518" i="19"/>
  <c r="C517" i="19"/>
  <c r="C516" i="19"/>
  <c r="C515" i="19"/>
  <c r="C514" i="19"/>
  <c r="C513" i="19"/>
  <c r="C512" i="19"/>
  <c r="C511" i="19"/>
  <c r="C510" i="19"/>
  <c r="C509" i="19"/>
  <c r="C508" i="19"/>
  <c r="C507" i="19"/>
  <c r="C506" i="19"/>
  <c r="C505" i="19"/>
  <c r="C504" i="19"/>
  <c r="C503" i="19"/>
  <c r="C502" i="19"/>
  <c r="C501" i="19"/>
  <c r="C500" i="19"/>
  <c r="C499" i="19"/>
  <c r="C498" i="19"/>
  <c r="C497" i="19"/>
  <c r="C496" i="19"/>
  <c r="C495" i="19"/>
  <c r="C494" i="19"/>
  <c r="C493" i="19"/>
  <c r="C492" i="19"/>
  <c r="C491" i="19"/>
  <c r="C490" i="19"/>
  <c r="C489" i="19"/>
  <c r="C488" i="19"/>
  <c r="C487" i="19"/>
  <c r="C486" i="19"/>
  <c r="C485" i="19"/>
  <c r="C484" i="19"/>
  <c r="C483" i="19"/>
  <c r="C482" i="19"/>
  <c r="C481" i="19"/>
  <c r="C480" i="19"/>
  <c r="C479" i="19"/>
  <c r="C478" i="19"/>
  <c r="C477" i="19"/>
  <c r="C476" i="19"/>
  <c r="C475" i="19"/>
  <c r="C474" i="19"/>
  <c r="C473" i="19"/>
  <c r="C472" i="19"/>
  <c r="C471" i="19"/>
  <c r="C470" i="19"/>
  <c r="C469" i="19"/>
  <c r="C468" i="19"/>
  <c r="C467" i="19"/>
  <c r="C466" i="19"/>
  <c r="C465" i="19"/>
  <c r="C464" i="19"/>
  <c r="C463" i="19"/>
  <c r="C462" i="19"/>
  <c r="C461" i="19"/>
  <c r="C460" i="19"/>
  <c r="C458" i="19"/>
  <c r="C457" i="19"/>
  <c r="C456" i="19"/>
  <c r="C454" i="19"/>
  <c r="C453" i="19"/>
  <c r="C452" i="19"/>
  <c r="C451" i="19"/>
  <c r="C450" i="19"/>
  <c r="C449" i="19"/>
  <c r="C447" i="19"/>
  <c r="C446" i="19"/>
  <c r="C445" i="19"/>
  <c r="C444" i="19"/>
  <c r="C443" i="19"/>
  <c r="C441" i="19"/>
  <c r="C440" i="19"/>
  <c r="C439" i="19"/>
  <c r="C438" i="19"/>
  <c r="C437" i="19"/>
  <c r="C432" i="19"/>
  <c r="C431" i="19"/>
  <c r="C429" i="19"/>
  <c r="C426" i="19"/>
  <c r="C423" i="19"/>
  <c r="C422" i="19"/>
  <c r="C421" i="19"/>
  <c r="C420" i="19"/>
  <c r="C418" i="19"/>
  <c r="C416" i="19"/>
  <c r="C415" i="19"/>
  <c r="C414" i="19"/>
  <c r="C412" i="19"/>
  <c r="C411" i="19"/>
  <c r="C410" i="19"/>
  <c r="C409" i="19"/>
  <c r="C408" i="19"/>
  <c r="C406" i="19"/>
  <c r="C405" i="19"/>
  <c r="C404" i="19"/>
  <c r="C403" i="19"/>
  <c r="C402" i="19"/>
  <c r="C401" i="19"/>
  <c r="C400" i="19"/>
  <c r="C399" i="19"/>
  <c r="C398" i="19"/>
  <c r="C397" i="19"/>
  <c r="C396" i="19"/>
  <c r="C395" i="19"/>
  <c r="C394" i="19"/>
  <c r="C393" i="19"/>
  <c r="C392" i="19"/>
  <c r="C391" i="19"/>
  <c r="C390" i="19"/>
  <c r="C389" i="19"/>
  <c r="C388" i="19"/>
  <c r="C387" i="19"/>
  <c r="C386" i="19"/>
  <c r="C384" i="19"/>
  <c r="C383" i="19"/>
  <c r="C382" i="19"/>
  <c r="C381" i="19"/>
  <c r="C380" i="19"/>
  <c r="C379" i="19"/>
  <c r="C378" i="19"/>
  <c r="C377" i="19"/>
  <c r="C376" i="19"/>
  <c r="C375" i="19"/>
  <c r="C374" i="19"/>
  <c r="C373" i="19"/>
  <c r="C372" i="19"/>
  <c r="C371" i="19"/>
  <c r="C370" i="19"/>
  <c r="C369" i="19"/>
  <c r="C368" i="19"/>
  <c r="C367" i="19"/>
  <c r="C366" i="19"/>
  <c r="C365" i="19"/>
  <c r="C364" i="19"/>
  <c r="C363" i="19"/>
  <c r="C362" i="19"/>
  <c r="C361" i="19"/>
  <c r="C360" i="19"/>
  <c r="C359" i="19"/>
  <c r="C358" i="19"/>
  <c r="C357" i="19"/>
  <c r="C356" i="19"/>
  <c r="C355" i="19"/>
  <c r="C354" i="19"/>
  <c r="C353" i="19"/>
  <c r="C352" i="19"/>
  <c r="C351" i="19"/>
  <c r="C350" i="19"/>
  <c r="C349" i="19"/>
  <c r="C348" i="19"/>
  <c r="C347" i="19"/>
  <c r="C346" i="19"/>
  <c r="C345" i="19"/>
  <c r="C344" i="19"/>
  <c r="C343" i="19"/>
  <c r="C342" i="19"/>
  <c r="C339" i="19"/>
  <c r="C338" i="19"/>
  <c r="C337" i="19"/>
  <c r="C336" i="19"/>
  <c r="C334" i="19"/>
  <c r="C332" i="19"/>
  <c r="C331" i="19"/>
  <c r="C330" i="19"/>
  <c r="C329" i="19"/>
  <c r="C328" i="19"/>
  <c r="C327" i="19"/>
  <c r="C326" i="19"/>
  <c r="C322" i="19"/>
  <c r="C319" i="19"/>
  <c r="C318" i="19"/>
  <c r="C313" i="19"/>
  <c r="C312" i="19"/>
  <c r="C311" i="19"/>
  <c r="C310" i="19"/>
  <c r="C309" i="19"/>
  <c r="C307" i="19"/>
  <c r="C306" i="19"/>
  <c r="C303" i="19"/>
  <c r="C301" i="19"/>
  <c r="C300" i="19"/>
  <c r="C299" i="19"/>
  <c r="C298" i="19"/>
  <c r="C297" i="19"/>
  <c r="C293" i="19"/>
  <c r="C292" i="19"/>
  <c r="C291" i="19"/>
  <c r="C290" i="19"/>
  <c r="C289" i="19"/>
  <c r="C288" i="19"/>
  <c r="C286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C271" i="19"/>
  <c r="C270" i="19"/>
  <c r="C269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6" i="19"/>
  <c r="C245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29" i="19"/>
  <c r="C228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0" i="19"/>
  <c r="C209" i="19"/>
  <c r="C208" i="19"/>
  <c r="C207" i="19"/>
  <c r="C206" i="19"/>
  <c r="C204" i="19"/>
  <c r="C203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7" i="19"/>
  <c r="C166" i="19"/>
  <c r="C164" i="19"/>
  <c r="C163" i="19"/>
  <c r="C162" i="19"/>
  <c r="C161" i="19"/>
  <c r="C160" i="19"/>
  <c r="C159" i="19"/>
  <c r="C158" i="19"/>
  <c r="C156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3" i="19"/>
  <c r="C4" i="19"/>
  <c r="F4" i="19"/>
  <c r="M34" i="15"/>
  <c r="N34" i="15"/>
  <c r="O34" i="15"/>
  <c r="P34" i="15"/>
  <c r="L34" i="15"/>
  <c r="G3" i="16"/>
  <c r="U27" i="15"/>
  <c r="S21" i="15"/>
  <c r="AK11" i="4"/>
  <c r="AK6" i="4"/>
  <c r="AL6" i="4"/>
  <c r="AL11" i="4"/>
  <c r="AM6" i="4"/>
  <c r="AM11" i="4"/>
  <c r="AN6" i="4"/>
  <c r="AN11" i="4"/>
  <c r="AK1" i="4"/>
  <c r="AG1" i="4"/>
  <c r="AH1" i="4"/>
  <c r="AI1" i="4"/>
  <c r="AJ1" i="4"/>
  <c r="AF1" i="4"/>
  <c r="AE21" i="1"/>
  <c r="AE26" i="1"/>
  <c r="R39" i="1"/>
  <c r="K29" i="1"/>
  <c r="K21" i="1"/>
  <c r="K22" i="1"/>
  <c r="K23" i="1"/>
  <c r="K30" i="1"/>
  <c r="C27" i="15"/>
  <c r="C26" i="15"/>
  <c r="C29" i="15"/>
  <c r="AR17" i="4"/>
  <c r="AS17" i="4"/>
  <c r="AT17" i="4"/>
  <c r="AU17" i="4"/>
  <c r="AV17" i="4"/>
  <c r="AW17" i="4"/>
  <c r="AX17" i="4"/>
  <c r="AY17" i="4"/>
  <c r="AZ17" i="4"/>
  <c r="BA17" i="4"/>
  <c r="AJ6" i="4"/>
  <c r="AK7" i="4"/>
  <c r="AK8" i="4"/>
  <c r="AX6" i="4"/>
  <c r="AY6" i="4"/>
  <c r="AL7" i="4"/>
  <c r="AL8" i="4"/>
  <c r="AR16" i="4"/>
  <c r="AS16" i="4"/>
  <c r="AT16" i="4"/>
  <c r="AU16" i="4"/>
  <c r="AV16" i="4"/>
  <c r="AW16" i="4"/>
  <c r="AY16" i="4"/>
  <c r="R46" i="1"/>
  <c r="R20" i="1"/>
  <c r="AF21" i="1"/>
  <c r="AF26" i="1"/>
  <c r="AZ6" i="4"/>
  <c r="BA6" i="4"/>
  <c r="Z4" i="1"/>
  <c r="Y4" i="1"/>
  <c r="Z25" i="1"/>
  <c r="AA4" i="1"/>
  <c r="AA25" i="1"/>
  <c r="AB4" i="1"/>
  <c r="AB25" i="1"/>
  <c r="AC4" i="1"/>
  <c r="AC25" i="1"/>
  <c r="AD25" i="1"/>
  <c r="AM7" i="4"/>
  <c r="AM8" i="4"/>
  <c r="AN7" i="4"/>
  <c r="AN8" i="4"/>
  <c r="Z6" i="1"/>
  <c r="Y6" i="1"/>
  <c r="Z24" i="1"/>
  <c r="L29" i="1"/>
  <c r="L21" i="1"/>
  <c r="L22" i="1"/>
  <c r="L23" i="1"/>
  <c r="Z21" i="1"/>
  <c r="Z26" i="1"/>
  <c r="Q32" i="15"/>
  <c r="S39" i="15"/>
  <c r="Q29" i="15"/>
  <c r="R38" i="15"/>
  <c r="C28" i="15"/>
  <c r="L8" i="15"/>
  <c r="L7" i="15"/>
  <c r="L9" i="15"/>
  <c r="L15" i="15"/>
  <c r="C37" i="15"/>
  <c r="M29" i="1"/>
  <c r="N29" i="1"/>
  <c r="O29" i="1"/>
  <c r="P29" i="1"/>
  <c r="P24" i="16"/>
  <c r="O24" i="16"/>
  <c r="N24" i="16"/>
  <c r="M24" i="16"/>
  <c r="L24" i="16"/>
  <c r="P23" i="16"/>
  <c r="O23" i="16"/>
  <c r="N23" i="16"/>
  <c r="M23" i="16"/>
  <c r="L23" i="16"/>
  <c r="J19" i="17"/>
  <c r="M20" i="17"/>
  <c r="L20" i="17"/>
  <c r="K20" i="17"/>
  <c r="M19" i="17"/>
  <c r="L19" i="17"/>
  <c r="K19" i="17"/>
  <c r="L25" i="16"/>
  <c r="S39" i="1"/>
  <c r="S46" i="1"/>
  <c r="S45" i="1"/>
  <c r="T39" i="1"/>
  <c r="T46" i="1"/>
  <c r="T45" i="1"/>
  <c r="R45" i="1"/>
  <c r="BN11" i="1"/>
  <c r="BN4" i="1"/>
  <c r="BO11" i="1"/>
  <c r="BO4" i="1"/>
  <c r="BP11" i="1"/>
  <c r="BP4" i="1"/>
  <c r="BQ11" i="1"/>
  <c r="BQ4" i="1"/>
  <c r="BR11" i="1"/>
  <c r="BR4" i="1"/>
  <c r="BM11" i="1"/>
  <c r="BM4" i="1"/>
  <c r="BN17" i="1"/>
  <c r="BN3" i="1"/>
  <c r="BO17" i="1"/>
  <c r="BO3" i="1"/>
  <c r="BP17" i="1"/>
  <c r="BP3" i="1"/>
  <c r="BQ17" i="1"/>
  <c r="BQ3" i="1"/>
  <c r="BR17" i="1"/>
  <c r="BR3" i="1"/>
  <c r="BM17" i="1"/>
  <c r="BM3" i="1"/>
  <c r="BL3" i="1"/>
  <c r="BR9" i="1"/>
  <c r="BR2" i="1"/>
  <c r="BQ9" i="1"/>
  <c r="BQ2" i="1"/>
  <c r="BP9" i="1"/>
  <c r="BP2" i="1"/>
  <c r="BO9" i="1"/>
  <c r="BO2" i="1"/>
  <c r="BN9" i="1"/>
  <c r="BN2" i="1"/>
  <c r="BM9" i="1"/>
  <c r="BM2" i="1"/>
  <c r="BM5" i="1"/>
  <c r="BN5" i="1"/>
  <c r="BO5" i="1"/>
  <c r="BP5" i="1"/>
  <c r="BQ5" i="1"/>
  <c r="BR5" i="1"/>
  <c r="BM6" i="1"/>
  <c r="Q14" i="1"/>
  <c r="T20" i="1"/>
  <c r="R14" i="1"/>
  <c r="BR10" i="1"/>
  <c r="BM25" i="1"/>
  <c r="BN10" i="1"/>
  <c r="BN18" i="1"/>
  <c r="BN19" i="1"/>
  <c r="BM10" i="1"/>
  <c r="BM18" i="1"/>
  <c r="BM19" i="1"/>
  <c r="BN20" i="1"/>
  <c r="BO10" i="1"/>
  <c r="BO18" i="1"/>
  <c r="BO19" i="1"/>
  <c r="BO20" i="1"/>
  <c r="BP10" i="1"/>
  <c r="BP18" i="1"/>
  <c r="BP19" i="1"/>
  <c r="BP20" i="1"/>
  <c r="BQ10" i="1"/>
  <c r="BQ18" i="1"/>
  <c r="BQ19" i="1"/>
  <c r="BQ20" i="1"/>
  <c r="BR18" i="1"/>
  <c r="BR19" i="1"/>
  <c r="BR20" i="1"/>
  <c r="BM21" i="1"/>
  <c r="BN25" i="1"/>
  <c r="BO25" i="1"/>
  <c r="BP25" i="1"/>
  <c r="BQ25" i="1"/>
  <c r="S14" i="1"/>
  <c r="T14" i="1"/>
  <c r="AC6" i="1"/>
  <c r="AD24" i="1"/>
  <c r="P21" i="1"/>
  <c r="P22" i="1"/>
  <c r="P23" i="1"/>
  <c r="AD21" i="1"/>
  <c r="AD26" i="1"/>
  <c r="K17" i="1"/>
  <c r="Y22" i="1"/>
  <c r="BN30" i="1"/>
  <c r="BO30" i="1"/>
  <c r="BO31" i="1"/>
  <c r="BP30" i="1"/>
  <c r="BP31" i="1"/>
  <c r="BQ30" i="1"/>
  <c r="BQ31" i="1"/>
  <c r="BM30" i="1"/>
  <c r="BN31" i="1"/>
  <c r="BM31" i="1"/>
  <c r="BF9" i="1"/>
  <c r="BN24" i="1"/>
  <c r="BN34" i="1"/>
  <c r="BN29" i="1"/>
  <c r="BG9" i="1"/>
  <c r="BO24" i="1"/>
  <c r="BO34" i="1"/>
  <c r="BO29" i="1"/>
  <c r="BH9" i="1"/>
  <c r="BP24" i="1"/>
  <c r="BP34" i="1"/>
  <c r="BP29" i="1"/>
  <c r="BI9" i="1"/>
  <c r="BQ24" i="1"/>
  <c r="BQ34" i="1"/>
  <c r="BQ29" i="1"/>
  <c r="BE9" i="1"/>
  <c r="BM24" i="1"/>
  <c r="BM34" i="1"/>
  <c r="BM29" i="1"/>
  <c r="AP13" i="1"/>
  <c r="BM12" i="1"/>
  <c r="BN12" i="1"/>
  <c r="BO12" i="1"/>
  <c r="BP12" i="1"/>
  <c r="BQ12" i="1"/>
  <c r="BR12" i="1"/>
  <c r="BM13" i="1"/>
  <c r="BO26" i="1"/>
  <c r="BO36" i="1"/>
  <c r="BM26" i="1"/>
  <c r="BM36" i="1"/>
  <c r="BM35" i="1"/>
  <c r="BM37" i="1"/>
  <c r="BN26" i="1"/>
  <c r="BN36" i="1"/>
  <c r="BP26" i="1"/>
  <c r="BP36" i="1"/>
  <c r="BQ26" i="1"/>
  <c r="BQ36" i="1"/>
  <c r="AC23" i="1"/>
  <c r="AD23" i="1"/>
  <c r="BM22" i="1"/>
  <c r="BN16" i="1"/>
  <c r="BO16" i="1"/>
  <c r="BP16" i="1"/>
  <c r="BQ16" i="1"/>
  <c r="BR16" i="1"/>
  <c r="BM16" i="1"/>
  <c r="AL2" i="4"/>
  <c r="AM2" i="4"/>
  <c r="AN2" i="4"/>
  <c r="AZ13" i="1"/>
  <c r="BM14" i="1"/>
  <c r="AX16" i="4"/>
  <c r="BA16" i="4"/>
  <c r="AB6" i="1"/>
  <c r="AA6" i="1"/>
  <c r="AB7" i="1"/>
  <c r="AA7" i="1"/>
  <c r="Z7" i="1"/>
  <c r="BG54" i="1"/>
  <c r="BJ54" i="1"/>
  <c r="BE54" i="1"/>
  <c r="BE53" i="1"/>
  <c r="BF53" i="1"/>
  <c r="BG53" i="1"/>
  <c r="BH53" i="1"/>
  <c r="BI53" i="1"/>
  <c r="BJ53" i="1"/>
  <c r="BD54" i="1"/>
  <c r="BJ52" i="1"/>
  <c r="BI52" i="1"/>
  <c r="BH52" i="1"/>
  <c r="BG52" i="1"/>
  <c r="BF52" i="1"/>
  <c r="BE52" i="1"/>
  <c r="BE49" i="1"/>
  <c r="S12" i="1"/>
  <c r="T12" i="1"/>
  <c r="R12" i="1"/>
  <c r="Q12" i="1"/>
  <c r="BF47" i="1"/>
  <c r="BG47" i="1"/>
  <c r="BH47" i="1"/>
  <c r="BI47" i="1"/>
  <c r="BJ47" i="1"/>
  <c r="BE47" i="1"/>
  <c r="BF48" i="1"/>
  <c r="BG48" i="1"/>
  <c r="BH48" i="1"/>
  <c r="BI48" i="1"/>
  <c r="BJ48" i="1"/>
  <c r="BE48" i="1"/>
  <c r="BD48" i="1"/>
  <c r="BJ46" i="1"/>
  <c r="BI46" i="1"/>
  <c r="BH46" i="1"/>
  <c r="BG46" i="1"/>
  <c r="BF46" i="1"/>
  <c r="BE46" i="1"/>
  <c r="BF41" i="1"/>
  <c r="BG41" i="1"/>
  <c r="BH41" i="1"/>
  <c r="BI41" i="1"/>
  <c r="BJ41" i="1"/>
  <c r="BF42" i="1"/>
  <c r="BH42" i="1"/>
  <c r="BI42" i="1"/>
  <c r="BJ42" i="1"/>
  <c r="BE43" i="1"/>
  <c r="BE41" i="1"/>
  <c r="BJ40" i="1"/>
  <c r="BI40" i="1"/>
  <c r="BH40" i="1"/>
  <c r="BG40" i="1"/>
  <c r="BF40" i="1"/>
  <c r="BE40" i="1"/>
  <c r="BE35" i="1"/>
  <c r="BE36" i="1"/>
  <c r="BF10" i="1"/>
  <c r="BF22" i="1"/>
  <c r="BF35" i="1"/>
  <c r="AV3" i="1"/>
  <c r="AV7" i="1"/>
  <c r="BF36" i="1"/>
  <c r="BG10" i="1"/>
  <c r="BG22" i="1"/>
  <c r="BG35" i="1"/>
  <c r="AW3" i="1"/>
  <c r="AW7" i="1"/>
  <c r="BG36" i="1"/>
  <c r="BH10" i="1"/>
  <c r="BH22" i="1"/>
  <c r="BH35" i="1"/>
  <c r="AX3" i="1"/>
  <c r="AX7" i="1"/>
  <c r="BH36" i="1"/>
  <c r="BI10" i="1"/>
  <c r="BI22" i="1"/>
  <c r="BI35" i="1"/>
  <c r="AY3" i="1"/>
  <c r="AY7" i="1"/>
  <c r="BI36" i="1"/>
  <c r="BF21" i="1"/>
  <c r="BF34" i="1"/>
  <c r="BG21" i="1"/>
  <c r="BG34" i="1"/>
  <c r="BH21" i="1"/>
  <c r="BH34" i="1"/>
  <c r="BI21" i="1"/>
  <c r="BI34" i="1"/>
  <c r="BE21" i="1"/>
  <c r="BE34" i="1"/>
  <c r="AV6" i="1"/>
  <c r="BF23" i="1"/>
  <c r="AW6" i="1"/>
  <c r="BG23" i="1"/>
  <c r="AX6" i="1"/>
  <c r="BH23" i="1"/>
  <c r="AY6" i="1"/>
  <c r="BI23" i="1"/>
  <c r="BE23" i="1"/>
  <c r="BE22" i="1"/>
  <c r="BF16" i="1"/>
  <c r="BG16" i="1"/>
  <c r="BH16" i="1"/>
  <c r="BI16" i="1"/>
  <c r="BJ16" i="1"/>
  <c r="BE16" i="1"/>
  <c r="D14" i="1"/>
  <c r="N11" i="1"/>
  <c r="N12" i="1"/>
  <c r="BE27" i="1"/>
  <c r="BF27" i="1"/>
  <c r="BG27" i="1"/>
  <c r="BH27" i="1"/>
  <c r="BI27" i="1"/>
  <c r="BJ27" i="1"/>
  <c r="BE3" i="1"/>
  <c r="BE28" i="1"/>
  <c r="BF3" i="1"/>
  <c r="BF28" i="1"/>
  <c r="BG3" i="1"/>
  <c r="BG28" i="1"/>
  <c r="BH3" i="1"/>
  <c r="BH28" i="1"/>
  <c r="BI3" i="1"/>
  <c r="BI28" i="1"/>
  <c r="BJ3" i="1"/>
  <c r="BJ28" i="1"/>
  <c r="N17" i="1"/>
  <c r="AS39" i="1"/>
  <c r="AP39" i="1"/>
  <c r="AQ39" i="1"/>
  <c r="AR39" i="1"/>
  <c r="AT39" i="1"/>
  <c r="AU39" i="1"/>
  <c r="AU40" i="1"/>
  <c r="BE30" i="1"/>
  <c r="BF30" i="1"/>
  <c r="BG30" i="1"/>
  <c r="BH30" i="1"/>
  <c r="BI30" i="1"/>
  <c r="BJ30" i="1"/>
  <c r="BE31" i="1"/>
  <c r="BE32" i="1"/>
  <c r="K5" i="1"/>
  <c r="K6" i="1"/>
  <c r="K7" i="1"/>
  <c r="AP3" i="1"/>
  <c r="BE15" i="1"/>
  <c r="K8" i="1"/>
  <c r="AP4" i="1"/>
  <c r="K10" i="1"/>
  <c r="AP6" i="1"/>
  <c r="K11" i="1"/>
  <c r="AP7" i="1"/>
  <c r="K12" i="1"/>
  <c r="AP8" i="1"/>
  <c r="AP33" i="1"/>
  <c r="L5" i="1"/>
  <c r="L6" i="1"/>
  <c r="L7" i="1"/>
  <c r="AQ3" i="1"/>
  <c r="BF15" i="1"/>
  <c r="L8" i="1"/>
  <c r="AQ4" i="1"/>
  <c r="L10" i="1"/>
  <c r="AQ6" i="1"/>
  <c r="L11" i="1"/>
  <c r="AQ7" i="1"/>
  <c r="L12" i="1"/>
  <c r="AQ8" i="1"/>
  <c r="AQ33" i="1"/>
  <c r="M5" i="1"/>
  <c r="M6" i="1"/>
  <c r="M7" i="1"/>
  <c r="AR3" i="1"/>
  <c r="BG15" i="1"/>
  <c r="M8" i="1"/>
  <c r="AR4" i="1"/>
  <c r="M10" i="1"/>
  <c r="AR6" i="1"/>
  <c r="M11" i="1"/>
  <c r="AR7" i="1"/>
  <c r="M12" i="1"/>
  <c r="AR8" i="1"/>
  <c r="AR33" i="1"/>
  <c r="N5" i="1"/>
  <c r="N6" i="1"/>
  <c r="N7" i="1"/>
  <c r="AS3" i="1"/>
  <c r="BH15" i="1"/>
  <c r="N8" i="1"/>
  <c r="AS4" i="1"/>
  <c r="N10" i="1"/>
  <c r="AS6" i="1"/>
  <c r="AS7" i="1"/>
  <c r="AS8" i="1"/>
  <c r="AS33" i="1"/>
  <c r="O5" i="1"/>
  <c r="O6" i="1"/>
  <c r="O7" i="1"/>
  <c r="AT3" i="1"/>
  <c r="BI15" i="1"/>
  <c r="O8" i="1"/>
  <c r="AT4" i="1"/>
  <c r="O10" i="1"/>
  <c r="AT6" i="1"/>
  <c r="O11" i="1"/>
  <c r="AT7" i="1"/>
  <c r="O12" i="1"/>
  <c r="AT8" i="1"/>
  <c r="AT33" i="1"/>
  <c r="P5" i="1"/>
  <c r="P6" i="1"/>
  <c r="P7" i="1"/>
  <c r="AU3" i="1"/>
  <c r="BJ15" i="1"/>
  <c r="P8" i="1"/>
  <c r="AU4" i="1"/>
  <c r="P10" i="1"/>
  <c r="AU6" i="1"/>
  <c r="P11" i="1"/>
  <c r="AU7" i="1"/>
  <c r="P12" i="1"/>
  <c r="AU8" i="1"/>
  <c r="AU33" i="1"/>
  <c r="L17" i="1"/>
  <c r="M17" i="1"/>
  <c r="O17" i="1"/>
  <c r="P17" i="1"/>
  <c r="BF14" i="1"/>
  <c r="BG14" i="1"/>
  <c r="BH14" i="1"/>
  <c r="BI14" i="1"/>
  <c r="BJ14" i="1"/>
  <c r="BE14" i="1"/>
  <c r="P35" i="1"/>
  <c r="L36" i="1"/>
  <c r="M36" i="1"/>
  <c r="N36" i="1"/>
  <c r="O36" i="1"/>
  <c r="P36" i="1"/>
  <c r="Q36" i="1"/>
  <c r="Q35" i="1"/>
  <c r="Q39" i="1"/>
  <c r="K39" i="1"/>
  <c r="K40" i="1"/>
  <c r="K41" i="1"/>
  <c r="L39" i="1"/>
  <c r="L40" i="1"/>
  <c r="L41" i="1"/>
  <c r="M39" i="1"/>
  <c r="M40" i="1"/>
  <c r="M41" i="1"/>
  <c r="N39" i="1"/>
  <c r="N40" i="1"/>
  <c r="N41" i="1"/>
  <c r="O39" i="1"/>
  <c r="O40" i="1"/>
  <c r="O41" i="1"/>
  <c r="P39" i="1"/>
  <c r="P40" i="1"/>
  <c r="P41" i="1"/>
  <c r="Q2" i="1"/>
  <c r="R36" i="1"/>
  <c r="R35" i="1"/>
  <c r="S36" i="1"/>
  <c r="S35" i="1"/>
  <c r="T36" i="1"/>
  <c r="T35" i="1"/>
  <c r="K58" i="1"/>
  <c r="L58" i="1"/>
  <c r="M58" i="1"/>
  <c r="N58" i="1"/>
  <c r="O58" i="1"/>
  <c r="P58" i="1"/>
  <c r="K61" i="1"/>
  <c r="L61" i="1"/>
  <c r="M61" i="1"/>
  <c r="N61" i="1"/>
  <c r="O61" i="1"/>
  <c r="P61" i="1"/>
  <c r="Q61" i="1"/>
  <c r="R61" i="1"/>
  <c r="S61" i="1"/>
  <c r="T61" i="1"/>
  <c r="AH23" i="1"/>
  <c r="AG23" i="1"/>
  <c r="AF23" i="1"/>
  <c r="AE23" i="1"/>
  <c r="O9" i="1"/>
  <c r="O13" i="1"/>
  <c r="O14" i="1"/>
  <c r="O15" i="1"/>
  <c r="O16" i="1"/>
  <c r="O18" i="1"/>
  <c r="O19" i="1"/>
  <c r="O24" i="1"/>
  <c r="O25" i="1"/>
  <c r="O26" i="1"/>
  <c r="O27" i="1"/>
  <c r="O28" i="1"/>
  <c r="G29" i="1"/>
  <c r="G31" i="1"/>
  <c r="O21" i="1"/>
  <c r="O22" i="1"/>
  <c r="O23" i="1"/>
  <c r="AC21" i="1"/>
  <c r="AC22" i="1"/>
  <c r="AC24" i="1"/>
  <c r="AC26" i="1"/>
  <c r="M9" i="1"/>
  <c r="M13" i="1"/>
  <c r="M14" i="1"/>
  <c r="M15" i="1"/>
  <c r="M16" i="1"/>
  <c r="M18" i="1"/>
  <c r="M19" i="1"/>
  <c r="M24" i="1"/>
  <c r="M25" i="1"/>
  <c r="M26" i="1"/>
  <c r="M27" i="1"/>
  <c r="M28" i="1"/>
  <c r="E6" i="1"/>
  <c r="E14" i="1"/>
  <c r="E20" i="1"/>
  <c r="E29" i="1"/>
  <c r="E31" i="1"/>
  <c r="M21" i="1"/>
  <c r="M22" i="1"/>
  <c r="M23" i="1"/>
  <c r="AA21" i="1"/>
  <c r="AA22" i="1"/>
  <c r="AA23" i="1"/>
  <c r="AA24" i="1"/>
  <c r="AA26" i="1"/>
  <c r="N9" i="1"/>
  <c r="N13" i="1"/>
  <c r="N14" i="1"/>
  <c r="N15" i="1"/>
  <c r="N16" i="1"/>
  <c r="N18" i="1"/>
  <c r="N19" i="1"/>
  <c r="N24" i="1"/>
  <c r="N25" i="1"/>
  <c r="N26" i="1"/>
  <c r="N27" i="1"/>
  <c r="N28" i="1"/>
  <c r="N21" i="1"/>
  <c r="N22" i="1"/>
  <c r="N23" i="1"/>
  <c r="AB21" i="1"/>
  <c r="AB22" i="1"/>
  <c r="AB23" i="1"/>
  <c r="AB24" i="1"/>
  <c r="AB26" i="1"/>
  <c r="P9" i="1"/>
  <c r="P13" i="1"/>
  <c r="P14" i="1"/>
  <c r="P16" i="1"/>
  <c r="P18" i="1"/>
  <c r="P19" i="1"/>
  <c r="P24" i="1"/>
  <c r="P25" i="1"/>
  <c r="P26" i="1"/>
  <c r="P27" i="1"/>
  <c r="P28" i="1"/>
  <c r="H20" i="1"/>
  <c r="H28" i="1"/>
  <c r="H29" i="1"/>
  <c r="H31" i="1"/>
  <c r="AD22" i="1"/>
  <c r="K24" i="1"/>
  <c r="K25" i="1"/>
  <c r="K26" i="1"/>
  <c r="K27" i="1"/>
  <c r="K28" i="1"/>
  <c r="L24" i="1"/>
  <c r="L25" i="1"/>
  <c r="L26" i="1"/>
  <c r="L27" i="1"/>
  <c r="L28" i="1"/>
  <c r="K59" i="1"/>
  <c r="L59" i="1"/>
  <c r="M59" i="1"/>
  <c r="N59" i="1"/>
  <c r="O59" i="1"/>
  <c r="P59" i="1"/>
  <c r="K60" i="1"/>
  <c r="L60" i="1"/>
  <c r="M60" i="1"/>
  <c r="N60" i="1"/>
  <c r="O60" i="1"/>
  <c r="P60" i="1"/>
  <c r="K14" i="1"/>
  <c r="K62" i="1"/>
  <c r="L14" i="1"/>
  <c r="L62" i="1"/>
  <c r="M62" i="1"/>
  <c r="N62" i="1"/>
  <c r="O62" i="1"/>
  <c r="P62" i="1"/>
  <c r="Q62" i="1"/>
  <c r="K15" i="1"/>
  <c r="K63" i="1"/>
  <c r="L15" i="1"/>
  <c r="L63" i="1"/>
  <c r="M63" i="1"/>
  <c r="N63" i="1"/>
  <c r="O63" i="1"/>
  <c r="P63" i="1"/>
  <c r="R62" i="1"/>
  <c r="AZ16" i="4"/>
  <c r="S62" i="1"/>
  <c r="S20" i="1"/>
  <c r="T62" i="1"/>
  <c r="Z23" i="1"/>
  <c r="L9" i="1"/>
  <c r="L13" i="1"/>
  <c r="L16" i="1"/>
  <c r="L18" i="1"/>
  <c r="L19" i="1"/>
  <c r="D29" i="1"/>
  <c r="Z22" i="1"/>
  <c r="Y23" i="1"/>
  <c r="O14" i="16"/>
  <c r="O13" i="16"/>
  <c r="S13" i="16"/>
  <c r="P27" i="16"/>
  <c r="O12" i="16"/>
  <c r="S12" i="16"/>
  <c r="O27" i="16"/>
  <c r="O11" i="16"/>
  <c r="S11" i="16"/>
  <c r="N27" i="16"/>
  <c r="O10" i="16"/>
  <c r="S10" i="16"/>
  <c r="M27" i="16"/>
  <c r="S38" i="15"/>
  <c r="O3" i="16"/>
  <c r="O7" i="16"/>
  <c r="N3" i="16"/>
  <c r="L3" i="16"/>
  <c r="L14" i="16"/>
  <c r="L7" i="16"/>
  <c r="L12" i="16"/>
  <c r="Q24" i="15"/>
  <c r="Q25" i="15"/>
  <c r="M24" i="15"/>
  <c r="N24" i="15"/>
  <c r="O24" i="15"/>
  <c r="P24" i="15"/>
  <c r="L24" i="15"/>
  <c r="W41" i="15"/>
  <c r="AV4" i="1"/>
  <c r="BF11" i="1"/>
  <c r="AW4" i="1"/>
  <c r="BG11" i="1"/>
  <c r="AX4" i="1"/>
  <c r="BH11" i="1"/>
  <c r="AY4" i="1"/>
  <c r="BI11" i="1"/>
  <c r="BE10" i="1"/>
  <c r="BE11" i="1"/>
  <c r="BF4" i="1"/>
  <c r="BG4" i="1"/>
  <c r="BH4" i="1"/>
  <c r="BI4" i="1"/>
  <c r="BJ4" i="1"/>
  <c r="BE4" i="1"/>
  <c r="BF2" i="1"/>
  <c r="BG2" i="1"/>
  <c r="BH2" i="1"/>
  <c r="BI2" i="1"/>
  <c r="BJ2" i="1"/>
  <c r="BE2" i="1"/>
  <c r="BE5" i="1"/>
  <c r="BF5" i="1"/>
  <c r="BG5" i="1"/>
  <c r="BH5" i="1"/>
  <c r="BI5" i="1"/>
  <c r="BJ5" i="1"/>
  <c r="BE6" i="1"/>
  <c r="AW8" i="1"/>
  <c r="AW33" i="1"/>
  <c r="BE17" i="1"/>
  <c r="BF17" i="1"/>
  <c r="BG17" i="1"/>
  <c r="BH17" i="1"/>
  <c r="BI17" i="1"/>
  <c r="BJ17" i="1"/>
  <c r="BE18" i="1"/>
  <c r="AT34" i="1"/>
  <c r="T2" i="1"/>
  <c r="T22" i="15"/>
  <c r="T23" i="15"/>
  <c r="T24" i="15"/>
  <c r="L23" i="15"/>
  <c r="L25" i="15"/>
  <c r="M23" i="15"/>
  <c r="M25" i="15"/>
  <c r="N23" i="15"/>
  <c r="N25" i="15"/>
  <c r="O23" i="15"/>
  <c r="O25" i="15"/>
  <c r="P23" i="15"/>
  <c r="P25" i="15"/>
  <c r="BN6" i="4"/>
  <c r="BN7" i="4"/>
  <c r="BM6" i="4"/>
  <c r="BM7" i="4"/>
  <c r="BN8" i="4"/>
  <c r="BL6" i="4"/>
  <c r="BL7" i="4"/>
  <c r="BM8" i="4"/>
  <c r="BK6" i="4"/>
  <c r="BK7" i="4"/>
  <c r="BL8" i="4"/>
  <c r="BJ6" i="4"/>
  <c r="BJ7" i="4"/>
  <c r="BK8" i="4"/>
  <c r="BI6" i="4"/>
  <c r="BI7" i="4"/>
  <c r="BJ8" i="4"/>
  <c r="BH6" i="4"/>
  <c r="BH7" i="4"/>
  <c r="BI8" i="4"/>
  <c r="BG6" i="4"/>
  <c r="BG7" i="4"/>
  <c r="BH8" i="4"/>
  <c r="BF6" i="4"/>
  <c r="BF7" i="4"/>
  <c r="BG8" i="4"/>
  <c r="BE6" i="4"/>
  <c r="BE7" i="4"/>
  <c r="BF8" i="4"/>
  <c r="C29" i="1"/>
  <c r="C31" i="1"/>
  <c r="K19" i="1"/>
  <c r="R2" i="1"/>
  <c r="S2" i="1"/>
  <c r="L56" i="1"/>
  <c r="M56" i="1"/>
  <c r="N56" i="1"/>
  <c r="O56" i="1"/>
  <c r="P56" i="1"/>
  <c r="M57" i="1"/>
  <c r="N57" i="1"/>
  <c r="O57" i="1"/>
  <c r="P57" i="1"/>
  <c r="Q57" i="1"/>
  <c r="Q56" i="1"/>
  <c r="AQ13" i="1"/>
  <c r="AR13" i="1"/>
  <c r="AS13" i="1"/>
  <c r="AT13" i="1"/>
  <c r="AU13" i="1"/>
  <c r="R57" i="1"/>
  <c r="R56" i="1"/>
  <c r="S57" i="1"/>
  <c r="S56" i="1"/>
  <c r="T57" i="1"/>
  <c r="T56" i="1"/>
  <c r="P30" i="1"/>
  <c r="O30" i="1"/>
  <c r="N30" i="1"/>
  <c r="M30" i="1"/>
  <c r="L30" i="1"/>
  <c r="K9" i="1"/>
  <c r="AP5" i="1"/>
  <c r="K13" i="1"/>
  <c r="K16" i="1"/>
  <c r="K18" i="1"/>
  <c r="AP9" i="1"/>
  <c r="AF11" i="1"/>
  <c r="AE11" i="1"/>
  <c r="AG11" i="1"/>
  <c r="AH11" i="1"/>
  <c r="AD11" i="1"/>
  <c r="AD12" i="1"/>
  <c r="Z11" i="1"/>
  <c r="Z12" i="1"/>
  <c r="AA11" i="1"/>
  <c r="AA12" i="1"/>
  <c r="AB11" i="1"/>
  <c r="AB12" i="1"/>
  <c r="AC11" i="1"/>
  <c r="AC12" i="1"/>
  <c r="AS15" i="4"/>
  <c r="AT15" i="4"/>
  <c r="AU15" i="4"/>
  <c r="AV15" i="4"/>
  <c r="AW15" i="4"/>
  <c r="AR15" i="4"/>
  <c r="AX15" i="4"/>
  <c r="AY15" i="4"/>
  <c r="AZ15" i="4"/>
  <c r="BA15" i="4"/>
  <c r="Y11" i="1"/>
  <c r="AJ22" i="4"/>
  <c r="S37" i="15"/>
  <c r="Q81" i="15"/>
  <c r="Q87" i="15"/>
  <c r="Q84" i="15"/>
  <c r="L75" i="15"/>
  <c r="M75" i="15"/>
  <c r="N75" i="15"/>
  <c r="O75" i="15"/>
  <c r="P75" i="15"/>
  <c r="Q75" i="15"/>
  <c r="R75" i="15"/>
  <c r="S75" i="15"/>
  <c r="T75" i="15"/>
  <c r="U75" i="15"/>
  <c r="V75" i="15"/>
  <c r="W75" i="15"/>
  <c r="X75" i="15"/>
  <c r="Y75" i="15"/>
  <c r="Z75" i="15"/>
  <c r="AA75" i="15"/>
  <c r="AB75" i="15"/>
  <c r="AC75" i="15"/>
  <c r="AD75" i="15"/>
  <c r="AE75" i="15"/>
  <c r="AF75" i="15"/>
  <c r="AG75" i="15"/>
  <c r="AH75" i="15"/>
  <c r="AI75" i="15"/>
  <c r="L76" i="15"/>
  <c r="Q88" i="15"/>
  <c r="AQ16" i="1"/>
  <c r="AR16" i="1"/>
  <c r="AS16" i="1"/>
  <c r="AT16" i="1"/>
  <c r="AU16" i="1"/>
  <c r="AP16" i="1"/>
  <c r="AP11" i="1"/>
  <c r="AU9" i="1"/>
  <c r="AG22" i="4"/>
  <c r="AH22" i="4"/>
  <c r="AI22" i="4"/>
  <c r="AF22" i="4"/>
  <c r="L6" i="16"/>
  <c r="L22" i="16"/>
  <c r="K69" i="1"/>
  <c r="L69" i="1"/>
  <c r="M69" i="1"/>
  <c r="N69" i="1"/>
  <c r="O69" i="1"/>
  <c r="P69" i="1"/>
  <c r="Q69" i="1"/>
  <c r="R69" i="1"/>
  <c r="S69" i="1"/>
  <c r="T69" i="1"/>
  <c r="Q86" i="15"/>
  <c r="P3" i="16"/>
  <c r="L30" i="15"/>
  <c r="L44" i="15"/>
  <c r="L35" i="15"/>
  <c r="L31" i="15"/>
  <c r="L36" i="15"/>
  <c r="L37" i="15"/>
  <c r="M30" i="15"/>
  <c r="M43" i="15"/>
  <c r="M44" i="15"/>
  <c r="M35" i="15"/>
  <c r="M31" i="15"/>
  <c r="M36" i="15"/>
  <c r="M37" i="15"/>
  <c r="N30" i="15"/>
  <c r="N43" i="15"/>
  <c r="N44" i="15"/>
  <c r="N35" i="15"/>
  <c r="N31" i="15"/>
  <c r="N36" i="15"/>
  <c r="N37" i="15"/>
  <c r="O30" i="15"/>
  <c r="O43" i="15"/>
  <c r="O44" i="15"/>
  <c r="O35" i="15"/>
  <c r="O31" i="15"/>
  <c r="O36" i="15"/>
  <c r="O37" i="15"/>
  <c r="P30" i="15"/>
  <c r="P43" i="15"/>
  <c r="P44" i="15"/>
  <c r="P35" i="15"/>
  <c r="P31" i="15"/>
  <c r="P36" i="15"/>
  <c r="P37" i="15"/>
  <c r="S42" i="15"/>
  <c r="X51" i="4"/>
  <c r="X52" i="4"/>
  <c r="Y51" i="4"/>
  <c r="Y52" i="4"/>
  <c r="Z51" i="4"/>
  <c r="Z52" i="4"/>
  <c r="AA51" i="4"/>
  <c r="AA52" i="4"/>
  <c r="AB51" i="4"/>
  <c r="AB52" i="4"/>
  <c r="W51" i="4"/>
  <c r="W52" i="4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L21" i="16"/>
  <c r="M21" i="16"/>
  <c r="N21" i="16"/>
  <c r="O21" i="16"/>
  <c r="P21" i="16"/>
  <c r="O4" i="16"/>
  <c r="O5" i="16"/>
  <c r="O6" i="16"/>
  <c r="AL3" i="16"/>
  <c r="AL4" i="16"/>
  <c r="AL5" i="16"/>
  <c r="AL6" i="16"/>
  <c r="AL7" i="16"/>
  <c r="AL8" i="16"/>
  <c r="AL9" i="16"/>
  <c r="AL10" i="16"/>
  <c r="AL11" i="16"/>
  <c r="AL12" i="16"/>
  <c r="AL1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L38" i="16"/>
  <c r="AL39" i="16"/>
  <c r="AL40" i="16"/>
  <c r="AL41" i="16"/>
  <c r="AL42" i="16"/>
  <c r="AL43" i="16"/>
  <c r="AL44" i="16"/>
  <c r="AL45" i="16"/>
  <c r="AL46" i="16"/>
  <c r="AL47" i="16"/>
  <c r="AL48" i="16"/>
  <c r="AL49" i="16"/>
  <c r="AL50" i="16"/>
  <c r="AL51" i="16"/>
  <c r="AL52" i="16"/>
  <c r="AL53" i="16"/>
  <c r="AL54" i="16"/>
  <c r="AL55" i="16"/>
  <c r="AL56" i="16"/>
  <c r="AL57" i="16"/>
  <c r="AL58" i="16"/>
  <c r="AL59" i="16"/>
  <c r="AL60" i="16"/>
  <c r="AL61" i="16"/>
  <c r="AK3" i="16"/>
  <c r="AK4" i="16"/>
  <c r="AK5" i="16"/>
  <c r="AK6" i="16"/>
  <c r="AK7" i="16"/>
  <c r="AK8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5" i="16"/>
  <c r="AK36" i="16"/>
  <c r="AK37" i="16"/>
  <c r="AK38" i="16"/>
  <c r="AK39" i="16"/>
  <c r="AK40" i="16"/>
  <c r="AK41" i="16"/>
  <c r="AK42" i="16"/>
  <c r="AK43" i="16"/>
  <c r="AK44" i="16"/>
  <c r="AK45" i="16"/>
  <c r="AK46" i="16"/>
  <c r="AK47" i="16"/>
  <c r="AK48" i="16"/>
  <c r="AK49" i="16"/>
  <c r="AK50" i="16"/>
  <c r="AK51" i="16"/>
  <c r="AK52" i="16"/>
  <c r="AK53" i="16"/>
  <c r="AK54" i="16"/>
  <c r="AK55" i="16"/>
  <c r="AK56" i="16"/>
  <c r="AK57" i="16"/>
  <c r="AK58" i="16"/>
  <c r="AK59" i="16"/>
  <c r="AK60" i="16"/>
  <c r="AK61" i="16"/>
  <c r="N7" i="16"/>
  <c r="AG3" i="16"/>
  <c r="AG4" i="16"/>
  <c r="AG5" i="16"/>
  <c r="AG6" i="16"/>
  <c r="AG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G38" i="16"/>
  <c r="AG39" i="16"/>
  <c r="AG40" i="16"/>
  <c r="AG41" i="16"/>
  <c r="AG42" i="16"/>
  <c r="AG43" i="16"/>
  <c r="AG44" i="16"/>
  <c r="AG45" i="16"/>
  <c r="AG46" i="16"/>
  <c r="AG47" i="16"/>
  <c r="AG48" i="16"/>
  <c r="AG49" i="16"/>
  <c r="AG50" i="16"/>
  <c r="AG51" i="16"/>
  <c r="AG52" i="16"/>
  <c r="AG53" i="16"/>
  <c r="AG54" i="16"/>
  <c r="AG55" i="16"/>
  <c r="AG56" i="16"/>
  <c r="AG57" i="16"/>
  <c r="AG58" i="16"/>
  <c r="AG59" i="16"/>
  <c r="AG60" i="16"/>
  <c r="AG61" i="16"/>
  <c r="N6" i="16"/>
  <c r="AH61" i="16"/>
  <c r="AH60" i="16"/>
  <c r="AH59" i="16"/>
  <c r="AH58" i="16"/>
  <c r="AH57" i="16"/>
  <c r="AH56" i="16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AH40" i="16"/>
  <c r="AH39" i="16"/>
  <c r="AH38" i="16"/>
  <c r="AH37" i="16"/>
  <c r="AH36" i="16"/>
  <c r="AH35" i="16"/>
  <c r="AH34" i="16"/>
  <c r="AH33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5" i="16"/>
  <c r="AH4" i="16"/>
  <c r="AH3" i="16"/>
  <c r="AC3" i="16"/>
  <c r="AC4" i="16"/>
  <c r="AC5" i="16"/>
  <c r="AC6" i="16"/>
  <c r="AC7" i="16"/>
  <c r="AC8" i="16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C58" i="16"/>
  <c r="AC59" i="16"/>
  <c r="AC60" i="16"/>
  <c r="AC61" i="16"/>
  <c r="N5" i="16"/>
  <c r="AD61" i="16"/>
  <c r="AD60" i="16"/>
  <c r="AD59" i="16"/>
  <c r="AD58" i="16"/>
  <c r="AD57" i="16"/>
  <c r="AD56" i="16"/>
  <c r="AD55" i="16"/>
  <c r="AD54" i="16"/>
  <c r="AD53" i="16"/>
  <c r="AD52" i="16"/>
  <c r="AD51" i="16"/>
  <c r="AD50" i="16"/>
  <c r="AD49" i="16"/>
  <c r="AD48" i="16"/>
  <c r="AD47" i="16"/>
  <c r="AD46" i="16"/>
  <c r="AD45" i="16"/>
  <c r="AD44" i="16"/>
  <c r="AD43" i="16"/>
  <c r="AD42" i="16"/>
  <c r="AD41" i="16"/>
  <c r="AD40" i="16"/>
  <c r="AD39" i="16"/>
  <c r="AD38" i="16"/>
  <c r="AD37" i="16"/>
  <c r="AD36" i="16"/>
  <c r="AD35" i="16"/>
  <c r="AD34" i="16"/>
  <c r="AD33" i="16"/>
  <c r="AD32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AD5" i="16"/>
  <c r="AD4" i="16"/>
  <c r="AD3" i="16"/>
  <c r="Z3" i="16"/>
  <c r="Z4" i="16"/>
  <c r="Z5" i="16"/>
  <c r="Z6" i="16"/>
  <c r="Z7" i="16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Y3" i="16"/>
  <c r="Y4" i="16"/>
  <c r="Y5" i="16"/>
  <c r="Y6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N4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M25" i="16"/>
  <c r="N25" i="16"/>
  <c r="O25" i="16"/>
  <c r="P25" i="16"/>
  <c r="R10" i="16"/>
  <c r="M26" i="16"/>
  <c r="R11" i="16"/>
  <c r="N26" i="16"/>
  <c r="R12" i="16"/>
  <c r="O26" i="16"/>
  <c r="R13" i="16"/>
  <c r="P26" i="16"/>
  <c r="L29" i="15"/>
  <c r="M29" i="15"/>
  <c r="N29" i="15"/>
  <c r="O29" i="15"/>
  <c r="P29" i="15"/>
  <c r="X49" i="4"/>
  <c r="Y49" i="4"/>
  <c r="Z49" i="4"/>
  <c r="AA49" i="4"/>
  <c r="AB49" i="4"/>
  <c r="W49" i="4"/>
  <c r="AP14" i="1"/>
  <c r="AP28" i="1"/>
  <c r="AQ28" i="1"/>
  <c r="AR28" i="1"/>
  <c r="AS28" i="1"/>
  <c r="AT28" i="1"/>
  <c r="AU28" i="1"/>
  <c r="AP19" i="1"/>
  <c r="AQ19" i="1"/>
  <c r="AR19" i="1"/>
  <c r="AS19" i="1"/>
  <c r="AT19" i="1"/>
  <c r="AU19" i="1"/>
  <c r="AQ27" i="1"/>
  <c r="AR27" i="1"/>
  <c r="AS27" i="1"/>
  <c r="AT27" i="1"/>
  <c r="AU27" i="1"/>
  <c r="AP27" i="1"/>
  <c r="AP25" i="1"/>
  <c r="AQ25" i="1"/>
  <c r="AR25" i="1"/>
  <c r="AS25" i="1"/>
  <c r="AT25" i="1"/>
  <c r="AU25" i="1"/>
  <c r="AP26" i="1"/>
  <c r="AQ26" i="1"/>
  <c r="AR26" i="1"/>
  <c r="AS26" i="1"/>
  <c r="AT26" i="1"/>
  <c r="AU26" i="1"/>
  <c r="AP20" i="1"/>
  <c r="AQ20" i="1"/>
  <c r="AR20" i="1"/>
  <c r="AS20" i="1"/>
  <c r="AT20" i="1"/>
  <c r="AU20" i="1"/>
  <c r="AQ15" i="1"/>
  <c r="AR15" i="1"/>
  <c r="AS15" i="1"/>
  <c r="AT15" i="1"/>
  <c r="AU15" i="1"/>
  <c r="AQ17" i="1"/>
  <c r="AR17" i="1"/>
  <c r="AS17" i="1"/>
  <c r="AT17" i="1"/>
  <c r="AU17" i="1"/>
  <c r="AP17" i="1"/>
  <c r="AP15" i="1"/>
  <c r="AQ21" i="1"/>
  <c r="AR21" i="1"/>
  <c r="AS21" i="1"/>
  <c r="AT21" i="1"/>
  <c r="AU21" i="1"/>
  <c r="AP21" i="1"/>
  <c r="AQ14" i="1"/>
  <c r="AR14" i="1"/>
  <c r="AS14" i="1"/>
  <c r="AT14" i="1"/>
  <c r="AU14" i="1"/>
  <c r="AP18" i="1"/>
  <c r="AQ18" i="1"/>
  <c r="AR18" i="1"/>
  <c r="AS18" i="1"/>
  <c r="AT18" i="1"/>
  <c r="AU18" i="1"/>
  <c r="AQ10" i="1"/>
  <c r="AR10" i="1"/>
  <c r="AS10" i="1"/>
  <c r="AT10" i="1"/>
  <c r="AU10" i="1"/>
  <c r="AQ11" i="1"/>
  <c r="AR11" i="1"/>
  <c r="AS11" i="1"/>
  <c r="AT11" i="1"/>
  <c r="AU11" i="1"/>
  <c r="AQ12" i="1"/>
  <c r="AR12" i="1"/>
  <c r="AS12" i="1"/>
  <c r="AT12" i="1"/>
  <c r="AU12" i="1"/>
  <c r="AP10" i="1"/>
  <c r="AP12" i="1"/>
  <c r="AQ9" i="1"/>
  <c r="AR9" i="1"/>
  <c r="AS9" i="1"/>
  <c r="AT9" i="1"/>
  <c r="AQ5" i="1"/>
  <c r="AR5" i="1"/>
  <c r="AS5" i="1"/>
  <c r="AT5" i="1"/>
  <c r="AU5" i="1"/>
  <c r="J12" i="1"/>
  <c r="D27" i="15"/>
  <c r="D28" i="15"/>
  <c r="E27" i="15"/>
  <c r="E28" i="15"/>
  <c r="F27" i="15"/>
  <c r="F28" i="15"/>
  <c r="G27" i="15"/>
  <c r="G28" i="15"/>
  <c r="H27" i="15"/>
  <c r="H28" i="15"/>
  <c r="D20" i="15"/>
  <c r="E20" i="15"/>
  <c r="E21" i="15"/>
  <c r="F20" i="15"/>
  <c r="G20" i="15"/>
  <c r="H20" i="15"/>
  <c r="C20" i="15"/>
  <c r="D21" i="15"/>
  <c r="D26" i="15"/>
  <c r="D29" i="15"/>
  <c r="E26" i="15"/>
  <c r="E29" i="15"/>
  <c r="F26" i="15"/>
  <c r="F29" i="15"/>
  <c r="G26" i="15"/>
  <c r="H26" i="15"/>
  <c r="H29" i="15"/>
  <c r="M8" i="15"/>
  <c r="N8" i="15"/>
  <c r="O8" i="15"/>
  <c r="P8" i="15"/>
  <c r="Q8" i="15"/>
  <c r="Q7" i="15"/>
  <c r="Q5" i="15"/>
  <c r="M7" i="15"/>
  <c r="M5" i="15"/>
  <c r="N7" i="15"/>
  <c r="N5" i="15"/>
  <c r="O7" i="15"/>
  <c r="P7" i="15"/>
  <c r="L5" i="15"/>
  <c r="B32" i="15"/>
  <c r="G29" i="15"/>
  <c r="N9" i="15"/>
  <c r="N6" i="15"/>
  <c r="P9" i="15"/>
  <c r="P5" i="15"/>
  <c r="O9" i="15"/>
  <c r="O5" i="15"/>
  <c r="Q9" i="15"/>
  <c r="M9" i="15"/>
  <c r="H21" i="15"/>
  <c r="F21" i="15"/>
  <c r="G21" i="15"/>
  <c r="N15" i="15"/>
  <c r="E37" i="15"/>
  <c r="O6" i="15"/>
  <c r="P6" i="15"/>
  <c r="O15" i="15"/>
  <c r="F37" i="15"/>
  <c r="P15" i="15"/>
  <c r="G37" i="15"/>
  <c r="L6" i="15"/>
  <c r="M15" i="15"/>
  <c r="D37" i="15"/>
  <c r="M6" i="15"/>
  <c r="Q15" i="15"/>
  <c r="H37" i="15"/>
  <c r="Q6" i="15"/>
  <c r="D13" i="15"/>
  <c r="N10" i="15"/>
  <c r="E13" i="15"/>
  <c r="O10" i="15"/>
  <c r="F13" i="15"/>
  <c r="P10" i="15"/>
  <c r="G13" i="15"/>
  <c r="Q10" i="15"/>
  <c r="C13" i="15"/>
  <c r="M10" i="15"/>
  <c r="Y12" i="1"/>
  <c r="AD9" i="1"/>
  <c r="AC9" i="1"/>
  <c r="AB9" i="1"/>
  <c r="AA9" i="1"/>
  <c r="Z9" i="1"/>
  <c r="AD7" i="1"/>
  <c r="AC7" i="1"/>
  <c r="AA5" i="1"/>
  <c r="AB5" i="1"/>
  <c r="AC5" i="1"/>
  <c r="AD5" i="1"/>
  <c r="Z5" i="1"/>
  <c r="J15" i="1"/>
  <c r="J14" i="1"/>
  <c r="J10" i="1"/>
  <c r="J11" i="1"/>
  <c r="J17" i="1"/>
  <c r="C6" i="1"/>
  <c r="F28" i="1"/>
  <c r="G32" i="1"/>
  <c r="H6" i="1"/>
  <c r="D6" i="1"/>
  <c r="F6" i="1"/>
  <c r="G6" i="1"/>
  <c r="D15" i="1"/>
  <c r="F15" i="1"/>
  <c r="J6" i="1"/>
  <c r="J5" i="1"/>
  <c r="AF5" i="4"/>
  <c r="AE5" i="4"/>
  <c r="AH5" i="4"/>
  <c r="AG5" i="4"/>
  <c r="AI5" i="4"/>
  <c r="Y21" i="1"/>
  <c r="Q16" i="15"/>
  <c r="Q17" i="15"/>
  <c r="H33" i="15"/>
  <c r="P16" i="15"/>
  <c r="P17" i="15"/>
  <c r="Q18" i="15"/>
  <c r="H34" i="15"/>
  <c r="M16" i="15"/>
  <c r="M17" i="15"/>
  <c r="L16" i="15"/>
  <c r="L17" i="15"/>
  <c r="M18" i="15"/>
  <c r="D34" i="15"/>
  <c r="D33" i="15"/>
  <c r="O16" i="15"/>
  <c r="O17" i="15"/>
  <c r="N16" i="15"/>
  <c r="N17" i="15"/>
  <c r="O18" i="15"/>
  <c r="F34" i="15"/>
  <c r="G33" i="15"/>
  <c r="P18" i="15"/>
  <c r="G34" i="15"/>
  <c r="N18" i="15"/>
  <c r="E34" i="15"/>
  <c r="C33" i="15"/>
  <c r="F33" i="15"/>
  <c r="E33" i="15"/>
  <c r="F14" i="15"/>
  <c r="C14" i="15"/>
  <c r="E14" i="15"/>
  <c r="G14" i="15"/>
  <c r="D14" i="15"/>
  <c r="L32" i="15"/>
  <c r="P32" i="15"/>
  <c r="O32" i="15"/>
  <c r="N32" i="15"/>
  <c r="M32" i="15"/>
  <c r="P5" i="16"/>
  <c r="L5" i="16"/>
  <c r="L13" i="16"/>
  <c r="P6" i="16"/>
  <c r="L11" i="16"/>
  <c r="P4" i="16"/>
  <c r="L4" i="16"/>
  <c r="L10" i="16"/>
  <c r="L20" i="16"/>
  <c r="M20" i="16"/>
  <c r="N20" i="16"/>
  <c r="P20" i="16"/>
  <c r="M22" i="16"/>
  <c r="N22" i="16"/>
  <c r="P22" i="16"/>
  <c r="P7" i="16"/>
  <c r="O20" i="16"/>
  <c r="O22" i="16"/>
  <c r="K42" i="1"/>
  <c r="AV8" i="1"/>
  <c r="AV33" i="1"/>
  <c r="AX8" i="1"/>
  <c r="AX33" i="1"/>
  <c r="AY8" i="1"/>
  <c r="AY33" i="1"/>
  <c r="AV5" i="1"/>
  <c r="AW5" i="1"/>
  <c r="AX5" i="1"/>
  <c r="AY5" i="1"/>
  <c r="AV9" i="1"/>
  <c r="AW9" i="1"/>
  <c r="AX9" i="1"/>
  <c r="AY9" i="1"/>
  <c r="AV10" i="1"/>
  <c r="AW10" i="1"/>
  <c r="AX10" i="1"/>
  <c r="AY10" i="1"/>
  <c r="AV11" i="1"/>
  <c r="AW11" i="1"/>
  <c r="AX11" i="1"/>
  <c r="AY11" i="1"/>
  <c r="AV12" i="1"/>
  <c r="AW12" i="1"/>
  <c r="AX12" i="1"/>
  <c r="AY12" i="1"/>
  <c r="AE7" i="1"/>
  <c r="AF7" i="1"/>
  <c r="AG7" i="1"/>
  <c r="AH7" i="1"/>
  <c r="BE19" i="1"/>
  <c r="BE7" i="1"/>
  <c r="BM7" i="1"/>
  <c r="AH21" i="1"/>
  <c r="AH26" i="1"/>
  <c r="AG21" i="1"/>
  <c r="AG26" i="1"/>
  <c r="BO35" i="1"/>
  <c r="BO37" i="1"/>
  <c r="BN35" i="1"/>
  <c r="BN37" i="1"/>
  <c r="BP35" i="1"/>
  <c r="BP37" i="1"/>
  <c r="BQ35" i="1"/>
  <c r="BQ37" i="1"/>
  <c r="AV13" i="1"/>
  <c r="AY20" i="1"/>
  <c r="T30" i="1"/>
  <c r="AY21" i="1"/>
  <c r="AW39" i="1"/>
  <c r="AX39" i="1"/>
  <c r="AY39" i="1"/>
  <c r="S30" i="1"/>
  <c r="S31" i="1"/>
  <c r="T31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X17" i="1"/>
  <c r="AY17" i="1"/>
  <c r="AX18" i="1"/>
  <c r="AY18" i="1"/>
  <c r="AW19" i="1"/>
  <c r="AX19" i="1"/>
  <c r="AY19" i="1"/>
  <c r="AW20" i="1"/>
  <c r="AX20" i="1"/>
  <c r="AX21" i="1"/>
  <c r="AG8" i="1"/>
  <c r="AG12" i="1"/>
  <c r="AF8" i="1"/>
  <c r="AF12" i="1"/>
  <c r="AH8" i="1"/>
  <c r="AH12" i="1"/>
  <c r="AG5" i="1"/>
  <c r="AH5" i="1"/>
  <c r="AG9" i="1"/>
  <c r="AH9" i="1"/>
  <c r="AN43" i="4"/>
  <c r="AN31" i="4"/>
  <c r="AL43" i="4"/>
  <c r="AL31" i="4"/>
  <c r="AM43" i="4"/>
  <c r="AM31" i="4"/>
  <c r="AK43" i="4"/>
  <c r="AK31" i="4"/>
  <c r="AE8" i="1"/>
  <c r="AF9" i="1"/>
  <c r="AE9" i="1"/>
  <c r="AF5" i="1"/>
  <c r="AE5" i="1"/>
  <c r="AE12" i="1"/>
  <c r="Q30" i="1"/>
  <c r="AV21" i="1"/>
  <c r="AV20" i="1"/>
  <c r="AV19" i="1"/>
  <c r="AV18" i="1"/>
  <c r="AV17" i="1"/>
  <c r="AV16" i="1"/>
  <c r="AV15" i="1"/>
  <c r="AV14" i="1"/>
  <c r="Q31" i="1"/>
  <c r="AV39" i="1"/>
  <c r="R30" i="1"/>
  <c r="R31" i="1"/>
  <c r="AW17" i="1"/>
  <c r="AW18" i="1"/>
  <c r="AW21" i="1"/>
</calcChain>
</file>

<file path=xl/sharedStrings.xml><?xml version="1.0" encoding="utf-8"?>
<sst xmlns="http://schemas.openxmlformats.org/spreadsheetml/2006/main" count="807" uniqueCount="514">
  <si>
    <t>NOPAT</t>
  </si>
  <si>
    <t>FCFF</t>
  </si>
  <si>
    <t>in NOK 1 000</t>
  </si>
  <si>
    <t>Operating profit (loss)</t>
  </si>
  <si>
    <t>Net financial expenses</t>
  </si>
  <si>
    <t>Profit (loss) before income taxes</t>
  </si>
  <si>
    <t>Income tax (expense) income</t>
  </si>
  <si>
    <t>Profit (loss) for the year</t>
  </si>
  <si>
    <t>Total revenues (O)</t>
  </si>
  <si>
    <t>Financial income (F)</t>
  </si>
  <si>
    <t>Other operating expenses (O)</t>
  </si>
  <si>
    <t>EBITDA</t>
  </si>
  <si>
    <t>EBIT</t>
  </si>
  <si>
    <t>+/- tax shield from NFE (Net Fin. Exp)</t>
  </si>
  <si>
    <t>Net income from continuing operations</t>
  </si>
  <si>
    <t>EBITDA before special items</t>
  </si>
  <si>
    <t>-/+ tax shield from NFE (Net Fin. Exp)</t>
  </si>
  <si>
    <t xml:space="preserve">Total equity and liabilities </t>
  </si>
  <si>
    <t xml:space="preserve">Total liabilities </t>
  </si>
  <si>
    <t xml:space="preserve">Total current liabailites </t>
  </si>
  <si>
    <t xml:space="preserve">Current liabilities </t>
  </si>
  <si>
    <t xml:space="preserve">Total non-current liabilities </t>
  </si>
  <si>
    <t xml:space="preserve">Non-current liabilities </t>
  </si>
  <si>
    <t xml:space="preserve">Liabilities </t>
  </si>
  <si>
    <t xml:space="preserve">Total equity </t>
  </si>
  <si>
    <t>TOTAL CE (NOA + FA)</t>
  </si>
  <si>
    <t xml:space="preserve">Equity </t>
  </si>
  <si>
    <t>FA</t>
  </si>
  <si>
    <t xml:space="preserve">Equity and liabilities </t>
  </si>
  <si>
    <t>TOTAL ASSETS (ONCA+FA+OCA)</t>
  </si>
  <si>
    <t xml:space="preserve">TOTAL ASSETS </t>
  </si>
  <si>
    <t>OCA</t>
  </si>
  <si>
    <t xml:space="preserve">Total current assets </t>
  </si>
  <si>
    <t>Cash and cash equivalents (F)</t>
  </si>
  <si>
    <t>NOA (NONCA+NOWC)</t>
  </si>
  <si>
    <t>Trade receivables (O)</t>
  </si>
  <si>
    <t xml:space="preserve">Other current receivables (O) </t>
  </si>
  <si>
    <t>NOWC</t>
  </si>
  <si>
    <t xml:space="preserve">Current assets </t>
  </si>
  <si>
    <t xml:space="preserve">Total non-current assets </t>
  </si>
  <si>
    <t>ONCA</t>
  </si>
  <si>
    <t>PP&amp;E (O)</t>
  </si>
  <si>
    <t>Other intangible assets (O)</t>
  </si>
  <si>
    <t>Goodwill (O)</t>
  </si>
  <si>
    <t xml:space="preserve">Non-current assets </t>
  </si>
  <si>
    <t>Assets</t>
  </si>
  <si>
    <t>Balance Sheet (in millions)</t>
  </si>
  <si>
    <t>Balance sheet Selvaag (In NOK 1000)</t>
  </si>
  <si>
    <t>Target NOA-format</t>
  </si>
  <si>
    <t>Target CE-format</t>
  </si>
  <si>
    <t>Target TA-format</t>
  </si>
  <si>
    <t>ONCL</t>
  </si>
  <si>
    <t>OCL</t>
  </si>
  <si>
    <t>Trade payabales (O)</t>
  </si>
  <si>
    <t>NOA</t>
  </si>
  <si>
    <t>N/A</t>
  </si>
  <si>
    <t>Net Income</t>
  </si>
  <si>
    <t>Net income</t>
  </si>
  <si>
    <t>Equity</t>
  </si>
  <si>
    <t>EVA</t>
  </si>
  <si>
    <t>ROE</t>
  </si>
  <si>
    <t>Gross profit</t>
  </si>
  <si>
    <t>Retention ratio</t>
  </si>
  <si>
    <t>Total</t>
  </si>
  <si>
    <t>Revenue growth</t>
  </si>
  <si>
    <t xml:space="preserve">Financial income </t>
  </si>
  <si>
    <t>Depreciation</t>
  </si>
  <si>
    <t>Growth NOPAT</t>
  </si>
  <si>
    <t>Period</t>
  </si>
  <si>
    <t>Revenues from contracts with customers</t>
  </si>
  <si>
    <t xml:space="preserve">Total operating revenues </t>
  </si>
  <si>
    <t>Cost of goods sold</t>
  </si>
  <si>
    <t>Total operating expenses</t>
  </si>
  <si>
    <t>Operational EBIT</t>
  </si>
  <si>
    <t>Production tax</t>
  </si>
  <si>
    <t>Onerous contracts</t>
  </si>
  <si>
    <t>Fair value adjustments</t>
  </si>
  <si>
    <t>Income from Investments in associates</t>
  </si>
  <si>
    <t>Salmar Consolidated Statement of Profit or Loss</t>
  </si>
  <si>
    <t>Interest income</t>
  </si>
  <si>
    <t>Interest Expenses</t>
  </si>
  <si>
    <t>Financial Expenses</t>
  </si>
  <si>
    <t>Non-controlling interests</t>
  </si>
  <si>
    <t>Shareholders in SalMar ASA</t>
  </si>
  <si>
    <t>EPS</t>
  </si>
  <si>
    <t>EPS - diluted</t>
  </si>
  <si>
    <t>Intangible Assets</t>
  </si>
  <si>
    <t>Property, plant and equipment</t>
  </si>
  <si>
    <t>Right-to-use assets (O)</t>
  </si>
  <si>
    <t>Total property, plant and equipment</t>
  </si>
  <si>
    <t>Total intangible assets</t>
  </si>
  <si>
    <t>Non-current financial assets</t>
  </si>
  <si>
    <t xml:space="preserve">Total non-current financial assets </t>
  </si>
  <si>
    <t>Other Inventory (O)</t>
  </si>
  <si>
    <t>Total inventory</t>
  </si>
  <si>
    <t>Receivables</t>
  </si>
  <si>
    <t>Total receivables</t>
  </si>
  <si>
    <t>Paid-in equity</t>
  </si>
  <si>
    <t>Share capital</t>
  </si>
  <si>
    <t>Treasury shares</t>
  </si>
  <si>
    <t>Share premium</t>
  </si>
  <si>
    <t>Other paid-in-equity</t>
  </si>
  <si>
    <t>Total paid-in equity</t>
  </si>
  <si>
    <t>Retained earnings</t>
  </si>
  <si>
    <t>Total equity attributable to shareholders of the parent</t>
  </si>
  <si>
    <t>Deffered tax liability (O)</t>
  </si>
  <si>
    <t>Other operating revenues</t>
  </si>
  <si>
    <t>Write-downs of PP&amp;E and intangible assets</t>
  </si>
  <si>
    <t>Depreciation and amortisation of PP&amp;E and intangible assets</t>
  </si>
  <si>
    <t>Net financial items</t>
  </si>
  <si>
    <t>Profit for the year attributable to: (Allocation of the year's net profit)</t>
  </si>
  <si>
    <t>Non-current interest-bearing debts (F) (debt to credit institutions)</t>
  </si>
  <si>
    <t>Current interest-bearing debts (F) (debt to credit institutions)</t>
  </si>
  <si>
    <t>Salary and personnel expenses (payroll costs)</t>
  </si>
  <si>
    <t xml:space="preserve">Change in stocks of goods in progress and finished goods </t>
  </si>
  <si>
    <t>COGS</t>
  </si>
  <si>
    <t>Interest income (F)</t>
  </si>
  <si>
    <t>Financial Expenses (F)</t>
  </si>
  <si>
    <t>Tax payable (O)</t>
  </si>
  <si>
    <t>Public duties payable (O)</t>
  </si>
  <si>
    <t>Short-term lease liabilities (F)</t>
  </si>
  <si>
    <t>Long-term lease liabilities (F)</t>
  </si>
  <si>
    <t>Licenses (O)</t>
  </si>
  <si>
    <t>Biological assets (O)</t>
  </si>
  <si>
    <t>Investments in associates (F)</t>
  </si>
  <si>
    <t>Investments in shares and other securities (F)</t>
  </si>
  <si>
    <t>Pension fund assets (F)</t>
  </si>
  <si>
    <t>Other receivables (F)</t>
  </si>
  <si>
    <t>Other current liabilities (F)</t>
  </si>
  <si>
    <t>+</t>
  </si>
  <si>
    <t>-</t>
  </si>
  <si>
    <t>delta NOWC</t>
  </si>
  <si>
    <t>delta NONCA</t>
  </si>
  <si>
    <t>=</t>
  </si>
  <si>
    <t>Cash flow from operating activities</t>
  </si>
  <si>
    <t>Profit before tax</t>
  </si>
  <si>
    <t>Tax paid in the period</t>
  </si>
  <si>
    <t>Depreciation, amortisation and write-downs</t>
  </si>
  <si>
    <t>Employee share schemes charged to expenses</t>
  </si>
  <si>
    <t>Income from associated companies</t>
  </si>
  <si>
    <t>Gains on disposal of shares in group companies</t>
  </si>
  <si>
    <t>Gains/losses on sale of non-current assets</t>
  </si>
  <si>
    <t>Net interest expenses</t>
  </si>
  <si>
    <t>Change in inventory / biological assets at cost</t>
  </si>
  <si>
    <t>Change in trade receivables</t>
  </si>
  <si>
    <t>Change in trade payables</t>
  </si>
  <si>
    <t>Change in other accruals</t>
  </si>
  <si>
    <t>Net cash flow from operating activities</t>
  </si>
  <si>
    <t>Cashflow from investing activities</t>
  </si>
  <si>
    <t>Cash-flow from sale of PP&amp;E</t>
  </si>
  <si>
    <t>Purchase of PP&amp;E</t>
  </si>
  <si>
    <t>Purchase of intangible assets</t>
  </si>
  <si>
    <t>Receipts from disposal of group companies and other investments</t>
  </si>
  <si>
    <t>Payments on business combinations, net of cash</t>
  </si>
  <si>
    <t>Payments related to capital contribution associated company</t>
  </si>
  <si>
    <t>Purchase of shares and other securities</t>
  </si>
  <si>
    <t xml:space="preserve">Dividends from associated companies </t>
  </si>
  <si>
    <t>Loan to third parties</t>
  </si>
  <si>
    <t>Interest received</t>
  </si>
  <si>
    <t>Net cash flow from investing activities</t>
  </si>
  <si>
    <t>Cash flow from financing activities</t>
  </si>
  <si>
    <t>Proceeds from interest-bearing debts</t>
  </si>
  <si>
    <t>Repayment of interest-bearing debts</t>
  </si>
  <si>
    <t>Net change in overdraft</t>
  </si>
  <si>
    <t>Payment of instalments on lease liabilities</t>
  </si>
  <si>
    <t>Interest paid</t>
  </si>
  <si>
    <t>Net proceeds from issuance of shares in group companies</t>
  </si>
  <si>
    <t xml:space="preserve">Net proceeds from issuance of shares </t>
  </si>
  <si>
    <t>Share-based payment, release</t>
  </si>
  <si>
    <t>Acquisition of non-controlling interests</t>
  </si>
  <si>
    <t>Net cash flow from financing activities</t>
  </si>
  <si>
    <t>Net change in cash and cash equivalents</t>
  </si>
  <si>
    <t>Currency translation of cash and cash equivalents</t>
  </si>
  <si>
    <t>Cash and cash equivalents as at 01.01</t>
  </si>
  <si>
    <t>Cash and cash equivalents as at 31.12</t>
  </si>
  <si>
    <t>Payment of interest on lease liabilities</t>
  </si>
  <si>
    <t>Dividends paid</t>
  </si>
  <si>
    <t>Other changes</t>
  </si>
  <si>
    <t>Historical period</t>
  </si>
  <si>
    <t>Forecast period</t>
  </si>
  <si>
    <t>Marginal tax rate</t>
  </si>
  <si>
    <t>Reported tax expense</t>
  </si>
  <si>
    <t>=Operating tax expense</t>
  </si>
  <si>
    <t>Forecast assumptions</t>
  </si>
  <si>
    <t>Cost of salees as % of revenue</t>
  </si>
  <si>
    <t>Other operating expenses as % of revenue</t>
  </si>
  <si>
    <t>Tax rate</t>
  </si>
  <si>
    <t>Interest expenses as % of NIBD</t>
  </si>
  <si>
    <t>Salary and personnel expenses as % of revenue</t>
  </si>
  <si>
    <t>Income/loss from investments in associates as % of revenue</t>
  </si>
  <si>
    <t>Write-downs of PP&amp;E and ingtangible assets as % of revenue</t>
  </si>
  <si>
    <t>Fair value adjustments as % of revenue</t>
  </si>
  <si>
    <t>Depreciation as a % of  PP&amp;E</t>
  </si>
  <si>
    <t>Sales growth reversion rate</t>
  </si>
  <si>
    <t>Interest Expense (F)</t>
  </si>
  <si>
    <t>Historical growth analysis</t>
  </si>
  <si>
    <t>Years</t>
  </si>
  <si>
    <t>Growth revenue</t>
  </si>
  <si>
    <t>Growth EBIT</t>
  </si>
  <si>
    <t>Growth net income</t>
  </si>
  <si>
    <t>Growth EPS</t>
  </si>
  <si>
    <t>Growth Equity</t>
  </si>
  <si>
    <t>% change</t>
  </si>
  <si>
    <t>ROIC</t>
  </si>
  <si>
    <t>WACC</t>
  </si>
  <si>
    <t>Dividend</t>
  </si>
  <si>
    <t>Payed dividend</t>
  </si>
  <si>
    <t>change in div. %</t>
  </si>
  <si>
    <t>Sustainable growth</t>
  </si>
  <si>
    <t>Payout Ratio</t>
  </si>
  <si>
    <t>Sustainable growth (g)</t>
  </si>
  <si>
    <t>EVA change %</t>
  </si>
  <si>
    <t>Return on invested capital (ROIC)</t>
  </si>
  <si>
    <t>Year</t>
  </si>
  <si>
    <t>PM (Profit Margin AT)</t>
  </si>
  <si>
    <t>ATO</t>
  </si>
  <si>
    <t>ROIC (AT)</t>
  </si>
  <si>
    <t>Interest expense</t>
  </si>
  <si>
    <t>Interest in percent</t>
  </si>
  <si>
    <t>Beta</t>
  </si>
  <si>
    <t>kontroll</t>
  </si>
  <si>
    <t>% Change ROIC</t>
  </si>
  <si>
    <t>Salaries and personell expenses</t>
  </si>
  <si>
    <t>Other operating expenses</t>
  </si>
  <si>
    <t>EBITDA befor special items</t>
  </si>
  <si>
    <t>Total revenues</t>
  </si>
  <si>
    <t>Depreciation and amortisation of PP&amp;E and intangible ass.</t>
  </si>
  <si>
    <r>
      <t xml:space="preserve">NONCA </t>
    </r>
    <r>
      <rPr>
        <b/>
        <sz val="11"/>
        <color theme="1"/>
        <rFont val="Times New Roman"/>
        <family val="1"/>
      </rPr>
      <t>(Net ONCA)</t>
    </r>
  </si>
  <si>
    <t>Date</t>
  </si>
  <si>
    <t>SalMar</t>
  </si>
  <si>
    <t>OSEBX</t>
  </si>
  <si>
    <t>Varians OSEBX</t>
  </si>
  <si>
    <t>Kovarians</t>
  </si>
  <si>
    <t>Egenkapitalbeta</t>
  </si>
  <si>
    <t>Varians SalMar</t>
  </si>
  <si>
    <t>https://www.regjeringen.no/no/tema/okonomi-og-budsjett/skatter-og-avgifter/skattesatser-2023/id2929581/</t>
  </si>
  <si>
    <t>https://app.norges-bank.no/query/#/en/genericrates?interesttype=GBON&amp;duration=10Y&amp;frequency=A&amp;startdate=1993-03-30&amp;stopdate=2022-12-31</t>
  </si>
  <si>
    <t>Cost of Debt</t>
  </si>
  <si>
    <t>Grieg Seafood</t>
  </si>
  <si>
    <t>Mowi</t>
  </si>
  <si>
    <t>Bakkafrost</t>
  </si>
  <si>
    <t>Lerøy Seafood</t>
  </si>
  <si>
    <t>5Y-monthly beta</t>
  </si>
  <si>
    <t>Leveraged beta raw</t>
  </si>
  <si>
    <t xml:space="preserve">Pretax income </t>
  </si>
  <si>
    <t>Unlevered beta (Company beta)</t>
  </si>
  <si>
    <t xml:space="preserve">Salmar </t>
  </si>
  <si>
    <t>Raw beta</t>
  </si>
  <si>
    <t>Unlevered beta</t>
  </si>
  <si>
    <t>Average asset beta</t>
  </si>
  <si>
    <t>SalMar Levered beta</t>
  </si>
  <si>
    <t>Manuell utregning vs OSEBX</t>
  </si>
  <si>
    <t>Månedlig avkastning OSEBX</t>
  </si>
  <si>
    <t>SalMar Raw Beta (monthly)</t>
  </si>
  <si>
    <t>Grieg Seafood Raw Beta (monthly)</t>
  </si>
  <si>
    <t>Lerøy</t>
  </si>
  <si>
    <t>Mowi Raw Beta (monthly)</t>
  </si>
  <si>
    <t>Lerøy Raw Beta (monthly)</t>
  </si>
  <si>
    <t>Bakkafrost Raw Beta (monthly)</t>
  </si>
  <si>
    <t>Covariance</t>
  </si>
  <si>
    <t>Market variance</t>
  </si>
  <si>
    <t>Net Debt/Equity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</si>
  <si>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</si>
  <si>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</si>
  <si>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</si>
  <si>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</si>
  <si>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</si>
  <si>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</si>
  <si>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</si>
  <si>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</si>
  <si>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</si>
  <si>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</si>
  <si>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</si>
  <si>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</si>
  <si>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</si>
  <si>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</si>
  <si>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</si>
  <si>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</si>
  <si>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</si>
  <si>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</si>
  <si>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</si>
  <si>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</si>
  <si>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</si>
  <si>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</si>
  <si>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</si>
  <si>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</si>
  <si>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SalMar monthly return</t>
  </si>
  <si>
    <t>OSEBX monthly return</t>
  </si>
  <si>
    <r>
      <t>Net debt</t>
    </r>
    <r>
      <rPr>
        <sz val="9"/>
        <color theme="1"/>
        <rFont val="Calibri"/>
        <family val="2"/>
        <scheme val="minor"/>
      </rPr>
      <t>*</t>
    </r>
  </si>
  <si>
    <r>
      <t>Equity</t>
    </r>
    <r>
      <rPr>
        <sz val="9"/>
        <color theme="1"/>
        <rFont val="Calibri"/>
        <family val="2"/>
        <scheme val="minor"/>
      </rPr>
      <t>*</t>
    </r>
  </si>
  <si>
    <t>Net Debt</t>
  </si>
  <si>
    <t>Net Debt/EQUITY</t>
  </si>
  <si>
    <t>NIBL (Net IBL)</t>
  </si>
  <si>
    <t>TOTAL E+NIBL</t>
  </si>
  <si>
    <t>TOTAL E+IBL</t>
  </si>
  <si>
    <r>
      <t>IBL</t>
    </r>
    <r>
      <rPr>
        <sz val="11"/>
        <color theme="1"/>
        <rFont val="Times New Roman"/>
        <family val="1"/>
      </rPr>
      <t>(Interest Bearing Liabilities)</t>
    </r>
  </si>
  <si>
    <t>TOTAL E+ONCL+IBL+OCL</t>
  </si>
  <si>
    <t>Shares outstanding</t>
  </si>
  <si>
    <t>Share price NOK</t>
  </si>
  <si>
    <t>Annual reports</t>
  </si>
  <si>
    <t>Greenbond 2021</t>
  </si>
  <si>
    <t>Debt</t>
  </si>
  <si>
    <t>If interest coverage ratio is</t>
  </si>
  <si>
    <t>greater than</t>
  </si>
  <si>
    <t>≤ to</t>
  </si>
  <si>
    <t>Rating is</t>
  </si>
  <si>
    <t>Spread is</t>
  </si>
  <si>
    <t>D2/D</t>
  </si>
  <si>
    <t>C2/C</t>
  </si>
  <si>
    <t>Ca2/CC</t>
  </si>
  <si>
    <t>Caa/CCC</t>
  </si>
  <si>
    <t>B3/B-</t>
  </si>
  <si>
    <t>B2/B</t>
  </si>
  <si>
    <t>B1/B+</t>
  </si>
  <si>
    <t>Ba2/BB</t>
  </si>
  <si>
    <t>Ba1/BB+</t>
  </si>
  <si>
    <t>Baa2/BBB</t>
  </si>
  <si>
    <t>A3/A-</t>
  </si>
  <si>
    <t>A2/A</t>
  </si>
  <si>
    <t>A1/A+</t>
  </si>
  <si>
    <t>Aa2/AA</t>
  </si>
  <si>
    <t>Aaa/AAA</t>
  </si>
  <si>
    <t>Interest coverage ratio</t>
  </si>
  <si>
    <t>New shares issued 2021</t>
  </si>
  <si>
    <r>
      <t xml:space="preserve">Greenbond 2021 </t>
    </r>
    <r>
      <rPr>
        <sz val="9"/>
        <color theme="1"/>
        <rFont val="Times New Roman"/>
        <family val="1"/>
      </rPr>
      <t>(in 1000)</t>
    </r>
  </si>
  <si>
    <t>Interest rate (quarterly)</t>
  </si>
  <si>
    <t>Years to maturity</t>
  </si>
  <si>
    <t>Yield p.a.</t>
  </si>
  <si>
    <t>Yield quarterly</t>
  </si>
  <si>
    <t>Payment each quarter</t>
  </si>
  <si>
    <t>Number of payments</t>
  </si>
  <si>
    <t>Maturity structure 2021</t>
  </si>
  <si>
    <t>After 2026 (10yr)</t>
  </si>
  <si>
    <t>WAM</t>
  </si>
  <si>
    <t>WAM (Weighted Average Maturity)</t>
  </si>
  <si>
    <t>NPV</t>
  </si>
  <si>
    <t>Long term</t>
  </si>
  <si>
    <t>Weight</t>
  </si>
  <si>
    <t>Cashflow</t>
  </si>
  <si>
    <t>Market value of total debt</t>
  </si>
  <si>
    <r>
      <t>NPV of Bond</t>
    </r>
    <r>
      <rPr>
        <i/>
        <sz val="9"/>
        <color theme="1"/>
        <rFont val="Times New Roman"/>
        <family val="1"/>
      </rPr>
      <t xml:space="preserve"> (in 1000)</t>
    </r>
  </si>
  <si>
    <t>Market values</t>
  </si>
  <si>
    <t>NOTE 15 sjekk ut 2021</t>
  </si>
  <si>
    <t>Trade receivables % revenue</t>
  </si>
  <si>
    <t>Trade payables as % revenue</t>
  </si>
  <si>
    <t>NIBD as % of NOA excluding intangibles</t>
  </si>
  <si>
    <t>Biological assets as % revenue</t>
  </si>
  <si>
    <t>Othher inventories % revenue</t>
  </si>
  <si>
    <t>Other current receivables % revenue</t>
  </si>
  <si>
    <t>Tax payable as a % of revenue</t>
  </si>
  <si>
    <t>public duties payable as a % of revenue</t>
  </si>
  <si>
    <t>Adjusted beta</t>
  </si>
  <si>
    <t>NIBL</t>
  </si>
  <si>
    <t>2022e</t>
  </si>
  <si>
    <t>2023e</t>
  </si>
  <si>
    <t>2024e</t>
  </si>
  <si>
    <t>2025e</t>
  </si>
  <si>
    <t>NIBL w/o  cash</t>
  </si>
  <si>
    <t>Cash and cash equivalents as a % of revenue</t>
  </si>
  <si>
    <t>Slaktevolum (tonn)</t>
  </si>
  <si>
    <t>Vekst</t>
  </si>
  <si>
    <t>Forward priser på laks (NOK per kg)</t>
  </si>
  <si>
    <t>Historiske priser (NOK per kg)</t>
  </si>
  <si>
    <t>https://fishpool.eu/forward-prices/</t>
  </si>
  <si>
    <t>Estimerte inntekter (i tusen NOK)</t>
  </si>
  <si>
    <t>Årsrapporter</t>
  </si>
  <si>
    <t>Faktiske inntekter (i tusen NOK)</t>
  </si>
  <si>
    <t>Differanse</t>
  </si>
  <si>
    <t>Korrelasjon</t>
  </si>
  <si>
    <t>NFE as % of NIBL</t>
  </si>
  <si>
    <t>Avskrivninger og nedskrivninger</t>
  </si>
  <si>
    <t>Driftskostnader margin</t>
  </si>
  <si>
    <t>Endring</t>
  </si>
  <si>
    <t>Endring i %</t>
  </si>
  <si>
    <t>Driftsinntekter</t>
  </si>
  <si>
    <t>Andel</t>
  </si>
  <si>
    <t>Gj.snitt andel</t>
  </si>
  <si>
    <t>Varekostnad</t>
  </si>
  <si>
    <t>Estimerte driftsinntekter</t>
  </si>
  <si>
    <t>Estimert varekostnad</t>
  </si>
  <si>
    <t>Eierskatt</t>
  </si>
  <si>
    <t>Oppjusteringsfaktor</t>
  </si>
  <si>
    <t>s*</t>
  </si>
  <si>
    <t>Sentral Norge</t>
  </si>
  <si>
    <t>Nord Norge</t>
  </si>
  <si>
    <t>Island</t>
  </si>
  <si>
    <t>Net Interest Bearing Debt</t>
  </si>
  <si>
    <t>https://www.pwc.no/no/publikasjoner/risikopremien.html</t>
  </si>
  <si>
    <t>BT</t>
  </si>
  <si>
    <t xml:space="preserve">+ </t>
  </si>
  <si>
    <t>Write downs</t>
  </si>
  <si>
    <t>Andre driftskostnader</t>
  </si>
  <si>
    <t>Lønnskostnader</t>
  </si>
  <si>
    <t>Estimerte lønnskostnader</t>
  </si>
  <si>
    <t>Estimerte andre driftskostnader</t>
  </si>
  <si>
    <t>Nedskrivninger</t>
  </si>
  <si>
    <t>Gj.snitt</t>
  </si>
  <si>
    <t>Inntekt fra tilknyttede selskap</t>
  </si>
  <si>
    <t>Virkelig verdijustering</t>
  </si>
  <si>
    <t>-370 015</t>
  </si>
  <si>
    <t>-32 995</t>
  </si>
  <si>
    <t>-179 532</t>
  </si>
  <si>
    <t>Avskrivninger</t>
  </si>
  <si>
    <t>Varige driftsmidler (PP&amp;E)</t>
  </si>
  <si>
    <t>Estimerte varige driftsmidler</t>
  </si>
  <si>
    <t>Estimerte avskrivninger</t>
  </si>
  <si>
    <t>Total PP&amp;E as % of revenue</t>
  </si>
  <si>
    <t xml:space="preserve">Delta Total PP&amp;E as % of revenue </t>
  </si>
  <si>
    <t>Delta andel</t>
  </si>
  <si>
    <t>Gj.snitt delta andel</t>
  </si>
  <si>
    <t>Netto investeringer</t>
  </si>
  <si>
    <t>Grunnrenteskatt</t>
  </si>
  <si>
    <t>Estimerte netto investeringer</t>
  </si>
  <si>
    <t>Endring netto arbeidskapital</t>
  </si>
  <si>
    <t>Bunnfradrag (i tusen NOK)</t>
  </si>
  <si>
    <t>Estimerte skattbare inntekter (i tusen NOK) etter bunnfradrag</t>
  </si>
  <si>
    <t>Bunnfradrag (tonn)</t>
  </si>
  <si>
    <t>Estimert netto arbeidskapital</t>
  </si>
  <si>
    <t>P/E</t>
  </si>
  <si>
    <t>Grieg</t>
  </si>
  <si>
    <t>EV/EBIT</t>
  </si>
  <si>
    <t>Aksjepris(30.12.2021)</t>
  </si>
  <si>
    <t>Markedsverdi</t>
  </si>
  <si>
    <t>Nto. Rentebærende gjeld</t>
  </si>
  <si>
    <t>EV</t>
  </si>
  <si>
    <t>Gjennomsnitt</t>
  </si>
  <si>
    <t>Operasjonell EBIT</t>
  </si>
  <si>
    <t>Beregnet kursmål</t>
  </si>
  <si>
    <t>Beregnet EV</t>
  </si>
  <si>
    <t>Bokført verdi</t>
  </si>
  <si>
    <t>P/B</t>
  </si>
  <si>
    <t>Ant. Aksjer</t>
  </si>
  <si>
    <t>Beregnet markedsverdi</t>
  </si>
  <si>
    <t>Antall aksjer</t>
  </si>
  <si>
    <t>antall aksjer</t>
  </si>
  <si>
    <t>Tallene er hentet fra:</t>
  </si>
  <si>
    <t>Grieg: https://finance.yahoo.com/quote/GSF.OL/financials?p=GSF.OL</t>
  </si>
  <si>
    <t>SalMar: https://finance.yahoo.com/quote/SALM.OL/financials?p=SALM.OL</t>
  </si>
  <si>
    <t>Mowi: https://finance.yahoo.com/quote/MOWI.OL/financials?p=MOWI.OL</t>
  </si>
  <si>
    <t xml:space="preserve"> Lerøy: https://finance.yahoo.com/quote/LSG.OL/financials?p=LSG.OL</t>
  </si>
  <si>
    <t>Bakkafrost: https://finance.yahoo.com/quote/BAKKA.OL/financials?p=BAKKA.OL</t>
  </si>
  <si>
    <t>EV/EBITDA</t>
  </si>
  <si>
    <t>*in 1000</t>
  </si>
  <si>
    <t>Estimert NONCA</t>
  </si>
  <si>
    <t>https://www.skatteetaten.no/satser/alminnelig-inntekt/?year=2016#rateShowYear</t>
  </si>
  <si>
    <t>https://www.regjeringen.no/no/aktuelt/regjeringens-forslag-om-grunnrenteskatt-pa-havbruk/id2968430/</t>
  </si>
  <si>
    <t>Estimerte frie kontantstrømmer</t>
  </si>
  <si>
    <t>Verdi egenkapital</t>
  </si>
  <si>
    <t>Netto gjeld</t>
  </si>
  <si>
    <t xml:space="preserve">Estimert aksjekurs </t>
  </si>
  <si>
    <t>DCF</t>
  </si>
  <si>
    <t>Return 5th percentile</t>
  </si>
  <si>
    <t>Return 95th percentile</t>
  </si>
  <si>
    <t>Kreditorskatt</t>
  </si>
  <si>
    <t>Licensen</t>
  </si>
  <si>
    <t>Endring NOWC</t>
  </si>
  <si>
    <t>Endring NONCA</t>
  </si>
  <si>
    <t>Aksjepris (30.12.2021)</t>
  </si>
  <si>
    <t>Markedets risikopremie</t>
  </si>
  <si>
    <t>Egenkapitalkostnad</t>
  </si>
  <si>
    <t>Risikofri rente</t>
  </si>
  <si>
    <t>Driftsresultat (EBIT)</t>
  </si>
  <si>
    <t>Rentekostnad</t>
  </si>
  <si>
    <t>Estimert bond rating</t>
  </si>
  <si>
    <t>Gjeldskostnad etter skatt</t>
  </si>
  <si>
    <t>Std avvik</t>
  </si>
  <si>
    <t>Adj Close</t>
  </si>
  <si>
    <t>Daglig avkastning</t>
  </si>
  <si>
    <t>Standard avvik</t>
  </si>
  <si>
    <t>Beregnet kursmål P/E</t>
  </si>
  <si>
    <t>Beregnet kursmål P/B</t>
  </si>
  <si>
    <t>Beregnet kursmål EV/EBIT</t>
  </si>
  <si>
    <t>Beregnet kursmål EV/EBITDA</t>
  </si>
  <si>
    <t>Beregnet kursmål DCF</t>
  </si>
  <si>
    <t>Gj.snitt kursmål</t>
  </si>
  <si>
    <t>Forventet avkastning</t>
  </si>
  <si>
    <t>Min</t>
  </si>
  <si>
    <t>Pr(&gt;7,33%)</t>
  </si>
  <si>
    <t>Pr(&lt;-7,33%)</t>
  </si>
  <si>
    <t>Median</t>
  </si>
  <si>
    <t>Max</t>
  </si>
  <si>
    <t>Resultat</t>
  </si>
  <si>
    <t>Input</t>
  </si>
  <si>
    <t>Eskludering av MOWI i analysen</t>
  </si>
  <si>
    <t>https://www.skatteetaten.no/satser/faktor-for-oppjustering-av-gevinsttap-eller-utbytte-pa-aksjer/?year=2022#rateShowYear</t>
  </si>
  <si>
    <t>Operating assets</t>
  </si>
  <si>
    <t>Financial assets</t>
  </si>
  <si>
    <t>Operating liabilities</t>
  </si>
  <si>
    <t>Financial liabilities</t>
  </si>
  <si>
    <t>NONCA</t>
  </si>
  <si>
    <t>SalMar reformulert balanse</t>
  </si>
  <si>
    <t>Egenkapitalkostnad (ke)</t>
  </si>
  <si>
    <t>Gjeldskostnad (kd)</t>
  </si>
  <si>
    <t>Estimert gjeldskostnad f.s.</t>
  </si>
  <si>
    <t>Estimert kredittspread</t>
  </si>
  <si>
    <r>
      <t>Market cap</t>
    </r>
    <r>
      <rPr>
        <b/>
        <sz val="8"/>
        <color theme="1"/>
        <rFont val="Times New Roman"/>
        <family val="1"/>
      </rPr>
      <t xml:space="preserve"> </t>
    </r>
  </si>
  <si>
    <t>Selskapsskatt</t>
  </si>
  <si>
    <t>Andel netto rentebærende gjeld</t>
  </si>
  <si>
    <t>Andel egenkapital</t>
  </si>
  <si>
    <t>WACC (kt)</t>
  </si>
  <si>
    <t>2026t</t>
  </si>
  <si>
    <t>Discount factor</t>
  </si>
  <si>
    <t>Present value FCFF</t>
  </si>
  <si>
    <t>PV of FCFF in continuing</t>
  </si>
  <si>
    <t>PV of FCFF in forecast</t>
  </si>
  <si>
    <t>Estimated EV</t>
  </si>
  <si>
    <t>Growth</t>
  </si>
  <si>
    <t>SalMar reformulatert resultatregnskap</t>
  </si>
  <si>
    <t xml:space="preserve">Betalbarskatt </t>
  </si>
  <si>
    <t xml:space="preserve">Driftsresultat </t>
  </si>
  <si>
    <t xml:space="preserve">Grunnrenteskatt </t>
  </si>
  <si>
    <t>Skattekostnad</t>
  </si>
  <si>
    <t>Effektiv skatt</t>
  </si>
  <si>
    <t>Gj.snitt kursmål multipler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</si>
</sst>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kr&quot;\ #,##0;[Red]\-&quot;kr&quot;\ #,##0"/>
    <numFmt numFmtId="8" formatCode="&quot;kr&quot;\ #,##0.00;[Red]\-&quot;kr&quot;\ #,##0.00"/>
    <numFmt numFmtId="43" formatCode="_-* #,##0.00_-;\-* #,##0.00_-;_-* &quot;-&quot;??_-;_-@_-"/>
    <numFmt numFmtId="164" formatCode="_-* #,##0_-;\-* #,##0_-;_-* &quot;-&quot;??_-;_-@_-"/>
    <numFmt numFmtId="165" formatCode="#,###;\(#,###\)"/>
    <numFmt numFmtId="166" formatCode="#,###;\(#,###\);\-"/>
    <numFmt numFmtId="167" formatCode="0.0\ %"/>
    <numFmt numFmtId="168" formatCode="0.0"/>
    <numFmt numFmtId="169" formatCode="_ * #,##0.00_ ;_ * \-#,##0.00_ ;_ * &quot;-&quot;??_ ;_ @_ "/>
    <numFmt numFmtId="170" formatCode="_ * #,##0_ ;_ * \-#,##0_ ;_ * &quot;-&quot;??_ ;_ @_ "/>
    <numFmt numFmtId="171" formatCode="0.000"/>
    <numFmt numFmtId="172" formatCode="0.000\ %"/>
    <numFmt numFmtId="173" formatCode="_-* #,##0.000000_-;\-* #,##0.000000_-;_-* &quot;-&quot;??_-;_-@_-"/>
    <numFmt numFmtId="174" formatCode="_-* #,##0.0000_-;\-* #,##0.0000_-;_-* &quot;-&quot;??_-;_-@_-"/>
    <numFmt numFmtId="175" formatCode="0.00000"/>
    <numFmt numFmtId="176" formatCode="0.0000"/>
    <numFmt numFmtId="177" formatCode="0.000000\ %"/>
    <numFmt numFmtId="178" formatCode="&quot;kr&quot;\ #,##0.00"/>
    <numFmt numFmtId="179" formatCode="&quot;kr&quot;\ #,##0"/>
    <numFmt numFmtId="180" formatCode="0.0000\ %"/>
    <numFmt numFmtId="181" formatCode="_-* #,##0.0_-;\-* #,##0.0_-;_-* &quot;-&quot;??_-;_-@_-"/>
    <numFmt numFmtId="182" formatCode="_-* #,##0.000_-;\-* #,##0.0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double"/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Times New Roman"/>
      <family val="1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rgb="FF232A31"/>
      <name val="Times New Roman"/>
      <family val="1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i/>
      <sz val="11"/>
      <color theme="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1" xfId="0" applyBorder="1"/>
    <xf numFmtId="0" fontId="2" fillId="0" borderId="0" xfId="0" applyFont="1"/>
    <xf numFmtId="164" fontId="0" fillId="0" borderId="0" xfId="1" applyNumberFormat="1" applyFont="1"/>
    <xf numFmtId="165" fontId="0" fillId="0" borderId="0" xfId="0" applyNumberFormat="1"/>
    <xf numFmtId="3" fontId="0" fillId="0" borderId="0" xfId="0" applyNumberFormat="1"/>
    <xf numFmtId="3" fontId="1" fillId="0" borderId="0" xfId="2" applyNumberFormat="1" applyFont="1"/>
    <xf numFmtId="10" fontId="1" fillId="0" borderId="0" xfId="2" applyNumberFormat="1" applyFont="1"/>
    <xf numFmtId="9" fontId="0" fillId="0" borderId="0" xfId="0" applyNumberFormat="1"/>
    <xf numFmtId="2" fontId="0" fillId="0" borderId="0" xfId="0" applyNumberFormat="1"/>
    <xf numFmtId="164" fontId="0" fillId="0" borderId="0" xfId="0" applyNumberFormat="1"/>
    <xf numFmtId="10" fontId="0" fillId="0" borderId="0" xfId="2" applyNumberFormat="1" applyFont="1" applyBorder="1"/>
    <xf numFmtId="9" fontId="0" fillId="0" borderId="0" xfId="2" applyFont="1" applyBorder="1"/>
    <xf numFmtId="10" fontId="0" fillId="0" borderId="0" xfId="0" applyNumberFormat="1"/>
    <xf numFmtId="0" fontId="0" fillId="0" borderId="16" xfId="0" applyBorder="1"/>
    <xf numFmtId="0" fontId="0" fillId="0" borderId="2" xfId="0" applyBorder="1"/>
    <xf numFmtId="164" fontId="0" fillId="0" borderId="0" xfId="1" applyNumberFormat="1" applyFont="1" applyBorder="1"/>
    <xf numFmtId="43" fontId="0" fillId="0" borderId="0" xfId="1" applyFont="1"/>
    <xf numFmtId="0" fontId="0" fillId="0" borderId="15" xfId="0" applyBorder="1"/>
    <xf numFmtId="164" fontId="2" fillId="0" borderId="0" xfId="1" applyNumberFormat="1" applyFont="1"/>
    <xf numFmtId="0" fontId="0" fillId="0" borderId="13" xfId="0" applyBorder="1"/>
    <xf numFmtId="0" fontId="0" fillId="0" borderId="11" xfId="0" applyBorder="1"/>
    <xf numFmtId="0" fontId="0" fillId="0" borderId="14" xfId="0" applyBorder="1"/>
    <xf numFmtId="171" fontId="0" fillId="0" borderId="0" xfId="0" applyNumberFormat="1"/>
    <xf numFmtId="0" fontId="0" fillId="8" borderId="0" xfId="0" applyFill="1"/>
    <xf numFmtId="164" fontId="2" fillId="0" borderId="0" xfId="1" applyNumberFormat="1" applyFont="1" applyBorder="1"/>
    <xf numFmtId="0" fontId="5" fillId="0" borderId="0" xfId="0" applyFont="1"/>
    <xf numFmtId="10" fontId="5" fillId="0" borderId="0" xfId="0" applyNumberFormat="1" applyFont="1"/>
    <xf numFmtId="0" fontId="5" fillId="12" borderId="0" xfId="0" applyFont="1" applyFill="1"/>
    <xf numFmtId="10" fontId="5" fillId="0" borderId="0" xfId="2" applyNumberFormat="1" applyFont="1" applyBorder="1"/>
    <xf numFmtId="1" fontId="5" fillId="0" borderId="0" xfId="0" applyNumberFormat="1" applyFont="1"/>
    <xf numFmtId="0" fontId="6" fillId="12" borderId="0" xfId="0" applyFont="1" applyFill="1"/>
    <xf numFmtId="10" fontId="6" fillId="0" borderId="0" xfId="0" applyNumberFormat="1" applyFont="1"/>
    <xf numFmtId="0" fontId="5" fillId="11" borderId="0" xfId="0" applyFont="1" applyFill="1"/>
    <xf numFmtId="9" fontId="5" fillId="0" borderId="0" xfId="0" applyNumberFormat="1" applyFont="1"/>
    <xf numFmtId="0" fontId="6" fillId="0" borderId="0" xfId="0" applyFont="1"/>
    <xf numFmtId="0" fontId="5" fillId="12" borderId="1" xfId="0" applyFont="1" applyFill="1" applyBorder="1"/>
    <xf numFmtId="165" fontId="6" fillId="12" borderId="1" xfId="1" applyNumberFormat="1" applyFont="1" applyFill="1" applyBorder="1"/>
    <xf numFmtId="165" fontId="6" fillId="0" borderId="1" xfId="0" applyNumberFormat="1" applyFont="1" applyBorder="1"/>
    <xf numFmtId="165" fontId="5" fillId="12" borderId="0" xfId="1" applyNumberFormat="1" applyFont="1" applyFill="1"/>
    <xf numFmtId="10" fontId="5" fillId="0" borderId="0" xfId="2" applyNumberFormat="1" applyFont="1"/>
    <xf numFmtId="10" fontId="6" fillId="0" borderId="1" xfId="2" applyNumberFormat="1" applyFont="1" applyBorder="1"/>
    <xf numFmtId="0" fontId="6" fillId="12" borderId="1" xfId="0" applyFont="1" applyFill="1" applyBorder="1"/>
    <xf numFmtId="0" fontId="8" fillId="12" borderId="0" xfId="0" applyFont="1" applyFill="1"/>
    <xf numFmtId="0" fontId="8" fillId="12" borderId="0" xfId="0" quotePrefix="1" applyFont="1" applyFill="1"/>
    <xf numFmtId="0" fontId="5" fillId="12" borderId="0" xfId="0" quotePrefix="1" applyFont="1" applyFill="1"/>
    <xf numFmtId="0" fontId="5" fillId="12" borderId="4" xfId="0" quotePrefix="1" applyFont="1" applyFill="1" applyBorder="1"/>
    <xf numFmtId="10" fontId="5" fillId="0" borderId="4" xfId="2" applyNumberFormat="1" applyFont="1" applyBorder="1"/>
    <xf numFmtId="10" fontId="6" fillId="0" borderId="0" xfId="2" applyNumberFormat="1" applyFont="1" applyBorder="1"/>
    <xf numFmtId="164" fontId="5" fillId="0" borderId="0" xfId="1" applyNumberFormat="1" applyFont="1"/>
    <xf numFmtId="1" fontId="6" fillId="2" borderId="0" xfId="1" applyNumberFormat="1" applyFont="1" applyFill="1"/>
    <xf numFmtId="165" fontId="5" fillId="0" borderId="0" xfId="0" applyNumberFormat="1" applyFont="1"/>
    <xf numFmtId="0" fontId="10" fillId="0" borderId="0" xfId="0" applyFont="1"/>
    <xf numFmtId="165" fontId="6" fillId="0" borderId="9" xfId="1" applyNumberFormat="1" applyFont="1" applyBorder="1"/>
    <xf numFmtId="0" fontId="5" fillId="0" borderId="18" xfId="0" applyFont="1" applyBorder="1"/>
    <xf numFmtId="0" fontId="5" fillId="0" borderId="19" xfId="0" applyFont="1" applyBorder="1"/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10" fillId="0" borderId="0" xfId="0" applyFont="1" applyAlignment="1">
      <alignment horizontal="left"/>
    </xf>
    <xf numFmtId="0" fontId="6" fillId="0" borderId="18" xfId="0" applyFont="1" applyBorder="1"/>
    <xf numFmtId="165" fontId="6" fillId="0" borderId="0" xfId="0" applyNumberFormat="1" applyFont="1"/>
    <xf numFmtId="3" fontId="5" fillId="9" borderId="0" xfId="0" applyNumberFormat="1" applyFont="1" applyFill="1" applyAlignment="1">
      <alignment horizontal="center"/>
    </xf>
    <xf numFmtId="3" fontId="11" fillId="9" borderId="0" xfId="0" applyNumberFormat="1" applyFont="1" applyFill="1"/>
    <xf numFmtId="0" fontId="5" fillId="0" borderId="0" xfId="0" applyFont="1" applyAlignment="1">
      <alignment horizontal="left"/>
    </xf>
    <xf numFmtId="165" fontId="5" fillId="0" borderId="0" xfId="1" applyNumberFormat="1" applyFont="1" applyFill="1"/>
    <xf numFmtId="165" fontId="5" fillId="0" borderId="0" xfId="1" applyNumberFormat="1" applyFont="1" applyBorder="1"/>
    <xf numFmtId="165" fontId="5" fillId="0" borderId="0" xfId="1" applyNumberFormat="1" applyFont="1"/>
    <xf numFmtId="165" fontId="8" fillId="0" borderId="0" xfId="1" applyNumberFormat="1" applyFont="1" applyBorder="1" applyAlignment="1">
      <alignment horizontal="right"/>
    </xf>
    <xf numFmtId="165" fontId="8" fillId="0" borderId="0" xfId="1" applyNumberFormat="1" applyFont="1"/>
    <xf numFmtId="165" fontId="6" fillId="0" borderId="9" xfId="0" applyNumberFormat="1" applyFont="1" applyBorder="1"/>
    <xf numFmtId="0" fontId="5" fillId="0" borderId="20" xfId="0" applyFont="1" applyBorder="1"/>
    <xf numFmtId="0" fontId="6" fillId="0" borderId="1" xfId="0" applyFont="1" applyBorder="1"/>
    <xf numFmtId="10" fontId="4" fillId="0" borderId="0" xfId="2" applyNumberFormat="1" applyFont="1" applyBorder="1" applyAlignment="1">
      <alignment horizontal="right"/>
    </xf>
    <xf numFmtId="10" fontId="4" fillId="0" borderId="0" xfId="2" applyNumberFormat="1" applyFont="1" applyBorder="1"/>
    <xf numFmtId="165" fontId="5" fillId="0" borderId="0" xfId="1" applyNumberFormat="1" applyFont="1" applyAlignment="1">
      <alignment horizontal="right"/>
    </xf>
    <xf numFmtId="164" fontId="5" fillId="0" borderId="0" xfId="1" applyNumberFormat="1" applyFont="1" applyFill="1"/>
    <xf numFmtId="0" fontId="5" fillId="0" borderId="0" xfId="0" applyFont="1" applyAlignment="1">
      <alignment horizontal="right"/>
    </xf>
    <xf numFmtId="43" fontId="5" fillId="0" borderId="0" xfId="1" applyFont="1"/>
    <xf numFmtId="43" fontId="5" fillId="0" borderId="0" xfId="1" applyFont="1" applyFill="1"/>
    <xf numFmtId="9" fontId="5" fillId="0" borderId="0" xfId="2" applyFont="1"/>
    <xf numFmtId="0" fontId="14" fillId="0" borderId="6" xfId="0" applyFont="1" applyBorder="1"/>
    <xf numFmtId="164" fontId="14" fillId="0" borderId="7" xfId="1" applyNumberFormat="1" applyFont="1" applyBorder="1"/>
    <xf numFmtId="0" fontId="6" fillId="0" borderId="6" xfId="0" applyFont="1" applyBorder="1" applyAlignment="1">
      <alignment horizontal="center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0" xfId="1" applyNumberFormat="1" applyFont="1"/>
    <xf numFmtId="0" fontId="16" fillId="0" borderId="11" xfId="0" applyFont="1" applyBorder="1"/>
    <xf numFmtId="0" fontId="16" fillId="0" borderId="2" xfId="0" applyFont="1" applyBorder="1"/>
    <xf numFmtId="0" fontId="16" fillId="0" borderId="12" xfId="0" applyFont="1" applyBorder="1"/>
    <xf numFmtId="164" fontId="6" fillId="0" borderId="1" xfId="1" applyNumberFormat="1" applyFont="1" applyBorder="1"/>
    <xf numFmtId="0" fontId="5" fillId="0" borderId="1" xfId="0" applyFont="1" applyBorder="1"/>
    <xf numFmtId="164" fontId="5" fillId="0" borderId="1" xfId="1" applyNumberFormat="1" applyFont="1" applyBorder="1"/>
    <xf numFmtId="0" fontId="15" fillId="0" borderId="13" xfId="0" applyFont="1" applyBorder="1"/>
    <xf numFmtId="0" fontId="6" fillId="0" borderId="14" xfId="0" applyFont="1" applyBorder="1" applyAlignment="1">
      <alignment horizontal="center"/>
    </xf>
    <xf numFmtId="0" fontId="18" fillId="0" borderId="0" xfId="0" applyFont="1"/>
    <xf numFmtId="165" fontId="18" fillId="0" borderId="0" xfId="1" applyNumberFormat="1" applyFont="1" applyBorder="1"/>
    <xf numFmtId="164" fontId="5" fillId="0" borderId="0" xfId="0" applyNumberFormat="1" applyFont="1"/>
    <xf numFmtId="0" fontId="4" fillId="0" borderId="0" xfId="0" applyFont="1"/>
    <xf numFmtId="165" fontId="4" fillId="0" borderId="0" xfId="1" applyNumberFormat="1" applyFont="1" applyFill="1"/>
    <xf numFmtId="165" fontId="4" fillId="0" borderId="0" xfId="1" applyNumberFormat="1" applyFont="1" applyFill="1" applyBorder="1"/>
    <xf numFmtId="0" fontId="6" fillId="0" borderId="4" xfId="0" applyFont="1" applyBorder="1"/>
    <xf numFmtId="165" fontId="6" fillId="0" borderId="4" xfId="1" applyNumberFormat="1" applyFont="1" applyBorder="1"/>
    <xf numFmtId="165" fontId="6" fillId="0" borderId="1" xfId="1" applyNumberFormat="1" applyFont="1" applyBorder="1"/>
    <xf numFmtId="165" fontId="5" fillId="0" borderId="1" xfId="1" applyNumberFormat="1" applyFont="1" applyBorder="1"/>
    <xf numFmtId="0" fontId="8" fillId="0" borderId="2" xfId="0" applyFont="1" applyBorder="1"/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10" fillId="0" borderId="9" xfId="1" applyNumberFormat="1" applyFont="1" applyBorder="1"/>
    <xf numFmtId="165" fontId="6" fillId="0" borderId="0" xfId="1" applyNumberFormat="1" applyFont="1"/>
    <xf numFmtId="0" fontId="6" fillId="5" borderId="0" xfId="0" applyFont="1" applyFill="1" applyAlignment="1">
      <alignment horizontal="left"/>
    </xf>
    <xf numFmtId="165" fontId="6" fillId="5" borderId="0" xfId="1" applyNumberFormat="1" applyFont="1" applyFill="1"/>
    <xf numFmtId="165" fontId="6" fillId="2" borderId="24" xfId="1" applyNumberFormat="1" applyFont="1" applyFill="1" applyBorder="1"/>
    <xf numFmtId="0" fontId="6" fillId="0" borderId="3" xfId="0" applyFont="1" applyBorder="1"/>
    <xf numFmtId="165" fontId="6" fillId="0" borderId="3" xfId="1" applyNumberFormat="1" applyFont="1" applyBorder="1"/>
    <xf numFmtId="0" fontId="6" fillId="4" borderId="0" xfId="0" applyFont="1" applyFill="1"/>
    <xf numFmtId="165" fontId="6" fillId="4" borderId="0" xfId="0" applyNumberFormat="1" applyFont="1" applyFill="1"/>
    <xf numFmtId="0" fontId="6" fillId="3" borderId="0" xfId="0" applyFont="1" applyFill="1"/>
    <xf numFmtId="165" fontId="6" fillId="3" borderId="0" xfId="1" applyNumberFormat="1" applyFont="1" applyFill="1" applyBorder="1"/>
    <xf numFmtId="165" fontId="8" fillId="0" borderId="2" xfId="1" applyNumberFormat="1" applyFont="1" applyBorder="1"/>
    <xf numFmtId="165" fontId="6" fillId="0" borderId="0" xfId="1" applyNumberFormat="1" applyFont="1" applyBorder="1"/>
    <xf numFmtId="165" fontId="5" fillId="0" borderId="4" xfId="1" applyNumberFormat="1" applyFont="1" applyBorder="1"/>
    <xf numFmtId="165" fontId="6" fillId="0" borderId="7" xfId="1" applyNumberFormat="1" applyFont="1" applyBorder="1"/>
    <xf numFmtId="165" fontId="6" fillId="3" borderId="24" xfId="1" applyNumberFormat="1" applyFont="1" applyFill="1" applyBorder="1"/>
    <xf numFmtId="165" fontId="5" fillId="0" borderId="0" xfId="1" applyNumberFormat="1" applyFont="1" applyBorder="1" applyAlignment="1">
      <alignment horizontal="right"/>
    </xf>
    <xf numFmtId="10" fontId="5" fillId="0" borderId="0" xfId="2" applyNumberFormat="1" applyFont="1" applyFill="1"/>
    <xf numFmtId="170" fontId="5" fillId="0" borderId="0" xfId="3" applyNumberFormat="1" applyFont="1" applyFill="1"/>
    <xf numFmtId="168" fontId="5" fillId="0" borderId="0" xfId="0" applyNumberFormat="1" applyFont="1"/>
    <xf numFmtId="167" fontId="5" fillId="0" borderId="0" xfId="2" applyNumberFormat="1" applyFont="1"/>
    <xf numFmtId="0" fontId="6" fillId="0" borderId="19" xfId="0" applyFont="1" applyBorder="1"/>
    <xf numFmtId="0" fontId="10" fillId="10" borderId="23" xfId="0" applyFont="1" applyFill="1" applyBorder="1"/>
    <xf numFmtId="165" fontId="5" fillId="10" borderId="23" xfId="1" applyNumberFormat="1" applyFont="1" applyFill="1" applyBorder="1"/>
    <xf numFmtId="165" fontId="5" fillId="10" borderId="24" xfId="1" applyNumberFormat="1" applyFont="1" applyFill="1" applyBorder="1"/>
    <xf numFmtId="165" fontId="5" fillId="10" borderId="25" xfId="1" applyNumberFormat="1" applyFont="1" applyFill="1" applyBorder="1"/>
    <xf numFmtId="165" fontId="5" fillId="0" borderId="18" xfId="1" applyNumberFormat="1" applyFont="1" applyBorder="1"/>
    <xf numFmtId="165" fontId="5" fillId="0" borderId="19" xfId="1" applyNumberFormat="1" applyFont="1" applyBorder="1"/>
    <xf numFmtId="0" fontId="6" fillId="0" borderId="8" xfId="0" applyFont="1" applyBorder="1"/>
    <xf numFmtId="0" fontId="6" fillId="0" borderId="7" xfId="0" applyFont="1" applyBorder="1"/>
    <xf numFmtId="9" fontId="5" fillId="0" borderId="0" xfId="2" applyFont="1" applyBorder="1"/>
    <xf numFmtId="9" fontId="5" fillId="0" borderId="19" xfId="2" applyFont="1" applyBorder="1"/>
    <xf numFmtId="165" fontId="5" fillId="0" borderId="18" xfId="1" applyNumberFormat="1" applyFont="1" applyFill="1" applyBorder="1"/>
    <xf numFmtId="165" fontId="5" fillId="0" borderId="0" xfId="1" applyNumberFormat="1" applyFont="1" applyFill="1" applyBorder="1"/>
    <xf numFmtId="165" fontId="5" fillId="0" borderId="19" xfId="1" applyNumberFormat="1" applyFont="1" applyFill="1" applyBorder="1"/>
    <xf numFmtId="165" fontId="6" fillId="0" borderId="8" xfId="1" applyNumberFormat="1" applyFont="1" applyBorder="1"/>
    <xf numFmtId="165" fontId="6" fillId="0" borderId="6" xfId="1" applyNumberFormat="1" applyFont="1" applyBorder="1"/>
    <xf numFmtId="0" fontId="10" fillId="10" borderId="18" xfId="0" applyFont="1" applyFill="1" applyBorder="1"/>
    <xf numFmtId="165" fontId="5" fillId="10" borderId="18" xfId="1" applyNumberFormat="1" applyFont="1" applyFill="1" applyBorder="1"/>
    <xf numFmtId="165" fontId="5" fillId="10" borderId="0" xfId="1" applyNumberFormat="1" applyFont="1" applyFill="1" applyBorder="1"/>
    <xf numFmtId="165" fontId="5" fillId="10" borderId="19" xfId="1" applyNumberFormat="1" applyFont="1" applyFill="1" applyBorder="1"/>
    <xf numFmtId="0" fontId="5" fillId="10" borderId="18" xfId="0" applyFont="1" applyFill="1" applyBorder="1"/>
    <xf numFmtId="165" fontId="5" fillId="0" borderId="20" xfId="1" applyNumberFormat="1" applyFont="1" applyBorder="1"/>
    <xf numFmtId="165" fontId="5" fillId="0" borderId="9" xfId="1" applyNumberFormat="1" applyFont="1" applyBorder="1"/>
    <xf numFmtId="165" fontId="5" fillId="0" borderId="22" xfId="1" applyNumberFormat="1" applyFont="1" applyBorder="1"/>
    <xf numFmtId="0" fontId="19" fillId="0" borderId="0" xfId="5" applyFont="1" applyBorder="1"/>
    <xf numFmtId="164" fontId="5" fillId="0" borderId="0" xfId="1" applyNumberFormat="1" applyFont="1" applyFill="1" applyBorder="1"/>
    <xf numFmtId="164" fontId="5" fillId="0" borderId="0" xfId="1" applyNumberFormat="1" applyFont="1" applyBorder="1"/>
    <xf numFmtId="10" fontId="5" fillId="0" borderId="0" xfId="2" applyNumberFormat="1" applyFont="1" applyFill="1" applyBorder="1"/>
    <xf numFmtId="9" fontId="5" fillId="0" borderId="0" xfId="2" applyFont="1" applyFill="1" applyBorder="1"/>
    <xf numFmtId="10" fontId="5" fillId="0" borderId="19" xfId="0" applyNumberFormat="1" applyFont="1" applyBorder="1"/>
    <xf numFmtId="10" fontId="5" fillId="0" borderId="9" xfId="0" applyNumberFormat="1" applyFont="1" applyBorder="1"/>
    <xf numFmtId="14" fontId="0" fillId="0" borderId="0" xfId="0" applyNumberFormat="1"/>
    <xf numFmtId="0" fontId="0" fillId="13" borderId="0" xfId="0" applyFill="1"/>
    <xf numFmtId="10" fontId="0" fillId="13" borderId="0" xfId="2" applyNumberFormat="1" applyFont="1" applyFill="1" applyBorder="1"/>
    <xf numFmtId="172" fontId="5" fillId="0" borderId="0" xfId="0" applyNumberFormat="1" applyFont="1"/>
    <xf numFmtId="171" fontId="5" fillId="0" borderId="0" xfId="0" applyNumberFormat="1" applyFont="1"/>
    <xf numFmtId="2" fontId="0" fillId="0" borderId="7" xfId="0" applyNumberFormat="1" applyBorder="1"/>
    <xf numFmtId="173" fontId="0" fillId="0" borderId="0" xfId="1" applyNumberFormat="1" applyFont="1" applyFill="1" applyBorder="1" applyAlignment="1">
      <alignment vertical="center"/>
    </xf>
    <xf numFmtId="173" fontId="0" fillId="0" borderId="0" xfId="1" applyNumberFormat="1" applyFont="1" applyBorder="1"/>
    <xf numFmtId="10" fontId="0" fillId="0" borderId="0" xfId="2" applyNumberFormat="1" applyFont="1"/>
    <xf numFmtId="0" fontId="0" fillId="0" borderId="9" xfId="0" applyBorder="1"/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175" fontId="0" fillId="0" borderId="9" xfId="0" applyNumberFormat="1" applyBorder="1"/>
    <xf numFmtId="171" fontId="0" fillId="0" borderId="9" xfId="0" applyNumberFormat="1" applyBorder="1"/>
    <xf numFmtId="171" fontId="2" fillId="0" borderId="21" xfId="0" applyNumberFormat="1" applyFont="1" applyBorder="1"/>
    <xf numFmtId="10" fontId="0" fillId="13" borderId="0" xfId="2" applyNumberFormat="1" applyFont="1" applyFill="1"/>
    <xf numFmtId="10" fontId="5" fillId="0" borderId="0" xfId="0" applyNumberFormat="1" applyFont="1" applyAlignment="1">
      <alignment horizontal="left"/>
    </xf>
    <xf numFmtId="0" fontId="10" fillId="12" borderId="0" xfId="0" applyFont="1" applyFill="1"/>
    <xf numFmtId="166" fontId="12" fillId="0" borderId="0" xfId="1" applyNumberFormat="1" applyFont="1" applyBorder="1"/>
    <xf numFmtId="165" fontId="8" fillId="0" borderId="0" xfId="1" applyNumberFormat="1" applyFont="1" applyBorder="1"/>
    <xf numFmtId="0" fontId="9" fillId="0" borderId="0" xfId="0" applyFont="1"/>
    <xf numFmtId="0" fontId="13" fillId="0" borderId="0" xfId="0" applyFont="1"/>
    <xf numFmtId="0" fontId="6" fillId="11" borderId="23" xfId="0" applyFont="1" applyFill="1" applyBorder="1"/>
    <xf numFmtId="0" fontId="6" fillId="11" borderId="24" xfId="0" applyFont="1" applyFill="1" applyBorder="1"/>
    <xf numFmtId="0" fontId="6" fillId="12" borderId="1" xfId="0" applyFont="1" applyFill="1" applyBorder="1" applyAlignment="1">
      <alignment horizontal="center"/>
    </xf>
    <xf numFmtId="0" fontId="0" fillId="0" borderId="19" xfId="0" applyBorder="1"/>
    <xf numFmtId="9" fontId="5" fillId="0" borderId="19" xfId="0" applyNumberFormat="1" applyFont="1" applyBorder="1"/>
    <xf numFmtId="9" fontId="5" fillId="0" borderId="9" xfId="0" applyNumberFormat="1" applyFont="1" applyBorder="1"/>
    <xf numFmtId="9" fontId="5" fillId="0" borderId="22" xfId="0" applyNumberFormat="1" applyFont="1" applyBorder="1"/>
    <xf numFmtId="0" fontId="18" fillId="12" borderId="18" xfId="0" applyFont="1" applyFill="1" applyBorder="1"/>
    <xf numFmtId="0" fontId="5" fillId="12" borderId="18" xfId="0" applyFont="1" applyFill="1" applyBorder="1"/>
    <xf numFmtId="0" fontId="5" fillId="12" borderId="28" xfId="0" applyFont="1" applyFill="1" applyBorder="1"/>
    <xf numFmtId="0" fontId="5" fillId="12" borderId="10" xfId="0" applyFont="1" applyFill="1" applyBorder="1"/>
    <xf numFmtId="0" fontId="5" fillId="12" borderId="29" xfId="0" applyFont="1" applyFill="1" applyBorder="1"/>
    <xf numFmtId="9" fontId="5" fillId="0" borderId="19" xfId="2" applyFont="1" applyFill="1" applyBorder="1"/>
    <xf numFmtId="0" fontId="5" fillId="12" borderId="20" xfId="0" applyFont="1" applyFill="1" applyBorder="1"/>
    <xf numFmtId="9" fontId="5" fillId="0" borderId="9" xfId="2" applyFont="1" applyFill="1" applyBorder="1"/>
    <xf numFmtId="165" fontId="8" fillId="0" borderId="0" xfId="0" applyNumberFormat="1" applyFont="1"/>
    <xf numFmtId="0" fontId="5" fillId="11" borderId="18" xfId="0" applyFont="1" applyFill="1" applyBorder="1"/>
    <xf numFmtId="0" fontId="13" fillId="12" borderId="18" xfId="0" applyFont="1" applyFill="1" applyBorder="1"/>
    <xf numFmtId="10" fontId="5" fillId="0" borderId="9" xfId="2" applyNumberFormat="1" applyFont="1" applyBorder="1"/>
    <xf numFmtId="0" fontId="6" fillId="12" borderId="18" xfId="0" applyFont="1" applyFill="1" applyBorder="1"/>
    <xf numFmtId="0" fontId="8" fillId="12" borderId="18" xfId="0" applyFont="1" applyFill="1" applyBorder="1"/>
    <xf numFmtId="0" fontId="8" fillId="12" borderId="18" xfId="0" quotePrefix="1" applyFont="1" applyFill="1" applyBorder="1"/>
    <xf numFmtId="0" fontId="5" fillId="12" borderId="18" xfId="0" quotePrefix="1" applyFont="1" applyFill="1" applyBorder="1"/>
    <xf numFmtId="0" fontId="6" fillId="12" borderId="20" xfId="0" applyFont="1" applyFill="1" applyBorder="1"/>
    <xf numFmtId="0" fontId="17" fillId="11" borderId="28" xfId="0" applyFont="1" applyFill="1" applyBorder="1"/>
    <xf numFmtId="0" fontId="17" fillId="11" borderId="10" xfId="0" applyFont="1" applyFill="1" applyBorder="1"/>
    <xf numFmtId="0" fontId="5" fillId="11" borderId="31" xfId="0" applyFont="1" applyFill="1" applyBorder="1"/>
    <xf numFmtId="0" fontId="15" fillId="12" borderId="27" xfId="0" applyFont="1" applyFill="1" applyBorder="1"/>
    <xf numFmtId="0" fontId="6" fillId="12" borderId="26" xfId="0" applyFont="1" applyFill="1" applyBorder="1" applyAlignment="1">
      <alignment horizontal="center"/>
    </xf>
    <xf numFmtId="0" fontId="8" fillId="12" borderId="18" xfId="0" applyFont="1" applyFill="1" applyBorder="1" applyAlignment="1">
      <alignment horizontal="right"/>
    </xf>
    <xf numFmtId="0" fontId="10" fillId="12" borderId="18" xfId="0" applyFont="1" applyFill="1" applyBorder="1"/>
    <xf numFmtId="0" fontId="10" fillId="12" borderId="18" xfId="0" applyFont="1" applyFill="1" applyBorder="1" applyAlignment="1">
      <alignment horizontal="left"/>
    </xf>
    <xf numFmtId="0" fontId="6" fillId="12" borderId="18" xfId="0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right"/>
    </xf>
    <xf numFmtId="0" fontId="8" fillId="12" borderId="17" xfId="0" applyFont="1" applyFill="1" applyBorder="1"/>
    <xf numFmtId="165" fontId="8" fillId="0" borderId="0" xfId="1" applyNumberFormat="1" applyFont="1" applyFill="1" applyBorder="1"/>
    <xf numFmtId="165" fontId="6" fillId="2" borderId="9" xfId="1" applyNumberFormat="1" applyFont="1" applyFill="1" applyBorder="1"/>
    <xf numFmtId="0" fontId="2" fillId="0" borderId="2" xfId="0" applyFont="1" applyBorder="1"/>
    <xf numFmtId="0" fontId="0" fillId="0" borderId="2" xfId="0" applyBorder="1" applyAlignment="1">
      <alignment vertical="center"/>
    </xf>
    <xf numFmtId="0" fontId="0" fillId="0" borderId="12" xfId="0" applyBorder="1"/>
    <xf numFmtId="0" fontId="20" fillId="0" borderId="32" xfId="0" applyFont="1" applyBorder="1" applyAlignment="1">
      <alignment horizontal="centerContinuous"/>
    </xf>
    <xf numFmtId="175" fontId="0" fillId="0" borderId="0" xfId="0" applyNumberFormat="1"/>
    <xf numFmtId="0" fontId="0" fillId="0" borderId="21" xfId="0" applyBorder="1"/>
    <xf numFmtId="0" fontId="20" fillId="0" borderId="32" xfId="0" applyFont="1" applyBorder="1" applyAlignment="1">
      <alignment horizontal="center"/>
    </xf>
    <xf numFmtId="0" fontId="3" fillId="6" borderId="15" xfId="0" applyFont="1" applyFill="1" applyBorder="1"/>
    <xf numFmtId="171" fontId="2" fillId="14" borderId="5" xfId="0" applyNumberFormat="1" applyFont="1" applyFill="1" applyBorder="1"/>
    <xf numFmtId="9" fontId="0" fillId="0" borderId="19" xfId="0" applyNumberFormat="1" applyBorder="1"/>
    <xf numFmtId="165" fontId="5" fillId="7" borderId="0" xfId="0" applyNumberFormat="1" applyFont="1" applyFill="1"/>
    <xf numFmtId="165" fontId="5" fillId="0" borderId="0" xfId="2" applyNumberFormat="1" applyFont="1" applyBorder="1"/>
    <xf numFmtId="10" fontId="5" fillId="0" borderId="22" xfId="0" applyNumberFormat="1" applyFont="1" applyBorder="1"/>
    <xf numFmtId="0" fontId="5" fillId="12" borderId="18" xfId="0" applyFont="1" applyFill="1" applyBorder="1" applyAlignment="1">
      <alignment horizontal="left"/>
    </xf>
    <xf numFmtId="165" fontId="5" fillId="0" borderId="9" xfId="0" applyNumberFormat="1" applyFont="1" applyBorder="1"/>
    <xf numFmtId="165" fontId="5" fillId="0" borderId="22" xfId="0" applyNumberFormat="1" applyFont="1" applyBorder="1"/>
    <xf numFmtId="0" fontId="13" fillId="12" borderId="23" xfId="0" applyFont="1" applyFill="1" applyBorder="1"/>
    <xf numFmtId="0" fontId="13" fillId="12" borderId="24" xfId="0" applyFont="1" applyFill="1" applyBorder="1"/>
    <xf numFmtId="0" fontId="0" fillId="0" borderId="18" xfId="0" applyBorder="1"/>
    <xf numFmtId="0" fontId="0" fillId="0" borderId="22" xfId="0" applyBorder="1"/>
    <xf numFmtId="0" fontId="13" fillId="12" borderId="24" xfId="0" applyFont="1" applyFill="1" applyBorder="1" applyAlignment="1">
      <alignment horizontal="right"/>
    </xf>
    <xf numFmtId="0" fontId="13" fillId="12" borderId="25" xfId="0" applyFont="1" applyFill="1" applyBorder="1" applyAlignment="1">
      <alignment horizontal="right"/>
    </xf>
    <xf numFmtId="0" fontId="5" fillId="12" borderId="0" xfId="0" applyFont="1" applyFill="1" applyAlignment="1">
      <alignment horizontal="right"/>
    </xf>
    <xf numFmtId="0" fontId="13" fillId="12" borderId="19" xfId="0" applyFont="1" applyFill="1" applyBorder="1" applyAlignment="1">
      <alignment horizontal="right"/>
    </xf>
    <xf numFmtId="10" fontId="0" fillId="0" borderId="19" xfId="0" applyNumberFormat="1" applyBorder="1"/>
    <xf numFmtId="164" fontId="0" fillId="0" borderId="19" xfId="1" applyNumberFormat="1" applyFont="1" applyBorder="1"/>
    <xf numFmtId="1" fontId="0" fillId="0" borderId="19" xfId="0" applyNumberFormat="1" applyBorder="1"/>
    <xf numFmtId="0" fontId="0" fillId="8" borderId="19" xfId="0" applyFill="1" applyBorder="1"/>
    <xf numFmtId="10" fontId="0" fillId="8" borderId="0" xfId="2" applyNumberFormat="1" applyFont="1" applyFill="1" applyBorder="1"/>
    <xf numFmtId="10" fontId="0" fillId="8" borderId="19" xfId="2" applyNumberFormat="1" applyFont="1" applyFill="1" applyBorder="1"/>
    <xf numFmtId="0" fontId="0" fillId="0" borderId="20" xfId="0" applyBorder="1"/>
    <xf numFmtId="176" fontId="0" fillId="0" borderId="9" xfId="0" applyNumberFormat="1" applyBorder="1"/>
    <xf numFmtId="0" fontId="0" fillId="0" borderId="23" xfId="0" applyBorder="1"/>
    <xf numFmtId="0" fontId="0" fillId="0" borderId="24" xfId="0" applyBorder="1"/>
    <xf numFmtId="164" fontId="0" fillId="0" borderId="9" xfId="0" applyNumberFormat="1" applyBorder="1"/>
    <xf numFmtId="164" fontId="0" fillId="0" borderId="22" xfId="0" applyNumberFormat="1" applyBorder="1"/>
    <xf numFmtId="165" fontId="5" fillId="0" borderId="0" xfId="0" applyNumberFormat="1" applyFont="1" applyAlignment="1">
      <alignment horizontal="right"/>
    </xf>
    <xf numFmtId="165" fontId="5" fillId="9" borderId="0" xfId="0" applyNumberFormat="1" applyFont="1" applyFill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8" borderId="0" xfId="0" applyFill="1" applyAlignment="1">
      <alignment horizontal="center"/>
    </xf>
    <xf numFmtId="165" fontId="5" fillId="0" borderId="19" xfId="0" applyNumberFormat="1" applyFont="1" applyBorder="1"/>
    <xf numFmtId="165" fontId="6" fillId="0" borderId="22" xfId="0" applyNumberFormat="1" applyFont="1" applyBorder="1"/>
    <xf numFmtId="165" fontId="6" fillId="3" borderId="19" xfId="0" applyNumberFormat="1" applyFont="1" applyFill="1" applyBorder="1"/>
    <xf numFmtId="165" fontId="0" fillId="0" borderId="19" xfId="0" applyNumberFormat="1" applyBorder="1"/>
    <xf numFmtId="165" fontId="5" fillId="0" borderId="19" xfId="2" applyNumberFormat="1" applyFont="1" applyBorder="1"/>
    <xf numFmtId="165" fontId="6" fillId="3" borderId="9" xfId="0" applyNumberFormat="1" applyFont="1" applyFill="1" applyBorder="1"/>
    <xf numFmtId="165" fontId="6" fillId="3" borderId="22" xfId="0" applyNumberFormat="1" applyFont="1" applyFill="1" applyBorder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2" fontId="5" fillId="0" borderId="0" xfId="2" applyNumberFormat="1" applyFont="1"/>
    <xf numFmtId="164" fontId="0" fillId="0" borderId="19" xfId="0" applyNumberFormat="1" applyBorder="1"/>
    <xf numFmtId="0" fontId="6" fillId="12" borderId="0" xfId="0" applyFont="1" applyFill="1" applyAlignment="1">
      <alignment horizontal="center"/>
    </xf>
    <xf numFmtId="177" fontId="0" fillId="0" borderId="0" xfId="0" applyNumberFormat="1"/>
    <xf numFmtId="10" fontId="0" fillId="0" borderId="19" xfId="2" applyNumberFormat="1" applyFont="1" applyBorder="1"/>
    <xf numFmtId="0" fontId="13" fillId="12" borderId="25" xfId="0" applyFont="1" applyFill="1" applyBorder="1"/>
    <xf numFmtId="176" fontId="0" fillId="0" borderId="0" xfId="0" applyNumberFormat="1"/>
    <xf numFmtId="10" fontId="0" fillId="0" borderId="9" xfId="2" applyNumberFormat="1" applyFont="1" applyBorder="1"/>
    <xf numFmtId="10" fontId="0" fillId="0" borderId="22" xfId="2" applyNumberFormat="1" applyFont="1" applyBorder="1"/>
    <xf numFmtId="0" fontId="5" fillId="0" borderId="0" xfId="0" quotePrefix="1" applyFont="1" applyAlignment="1">
      <alignment horizontal="center"/>
    </xf>
    <xf numFmtId="49" fontId="0" fillId="0" borderId="0" xfId="1" applyNumberFormat="1" applyFont="1" applyBorder="1" applyAlignment="1">
      <alignment horizontal="right"/>
    </xf>
    <xf numFmtId="164" fontId="0" fillId="0" borderId="9" xfId="2" applyNumberFormat="1" applyFont="1" applyBorder="1"/>
    <xf numFmtId="165" fontId="18" fillId="0" borderId="0" xfId="0" applyNumberFormat="1" applyFont="1"/>
    <xf numFmtId="165" fontId="6" fillId="3" borderId="0" xfId="0" applyNumberFormat="1" applyFont="1" applyFill="1"/>
    <xf numFmtId="0" fontId="0" fillId="0" borderId="25" xfId="0" applyBorder="1"/>
    <xf numFmtId="0" fontId="13" fillId="12" borderId="0" xfId="0" applyFont="1" applyFill="1"/>
    <xf numFmtId="0" fontId="13" fillId="12" borderId="0" xfId="0" applyFont="1" applyFill="1" applyAlignment="1">
      <alignment horizontal="right"/>
    </xf>
    <xf numFmtId="10" fontId="5" fillId="15" borderId="0" xfId="0" applyNumberFormat="1" applyFont="1" applyFill="1"/>
    <xf numFmtId="10" fontId="5" fillId="15" borderId="19" xfId="0" applyNumberFormat="1" applyFont="1" applyFill="1" applyBorder="1"/>
    <xf numFmtId="0" fontId="6" fillId="0" borderId="0" xfId="0" applyFont="1" applyAlignment="1">
      <alignment horizontal="right"/>
    </xf>
    <xf numFmtId="174" fontId="0" fillId="0" borderId="0" xfId="0" applyNumberFormat="1"/>
    <xf numFmtId="171" fontId="2" fillId="0" borderId="0" xfId="0" applyNumberFormat="1" applyFont="1"/>
    <xf numFmtId="2" fontId="2" fillId="0" borderId="0" xfId="0" applyNumberFormat="1" applyFont="1"/>
    <xf numFmtId="0" fontId="6" fillId="0" borderId="19" xfId="0" applyFont="1" applyBorder="1" applyAlignment="1">
      <alignment horizontal="right"/>
    </xf>
    <xf numFmtId="174" fontId="0" fillId="0" borderId="19" xfId="0" applyNumberFormat="1" applyBorder="1"/>
    <xf numFmtId="0" fontId="2" fillId="0" borderId="18" xfId="0" applyFont="1" applyBorder="1"/>
    <xf numFmtId="171" fontId="2" fillId="0" borderId="19" xfId="0" applyNumberFormat="1" applyFont="1" applyBorder="1"/>
    <xf numFmtId="9" fontId="0" fillId="0" borderId="19" xfId="2" applyFont="1" applyBorder="1"/>
    <xf numFmtId="2" fontId="2" fillId="0" borderId="19" xfId="0" applyNumberFormat="1" applyFont="1" applyBorder="1"/>
    <xf numFmtId="0" fontId="2" fillId="0" borderId="20" xfId="0" applyFont="1" applyBorder="1"/>
    <xf numFmtId="2" fontId="2" fillId="0" borderId="9" xfId="0" applyNumberFormat="1" applyFont="1" applyBorder="1"/>
    <xf numFmtId="0" fontId="22" fillId="0" borderId="22" xfId="0" applyFont="1" applyBorder="1" applyAlignment="1">
      <alignment horizontal="right"/>
    </xf>
    <xf numFmtId="164" fontId="5" fillId="12" borderId="0" xfId="1" applyNumberFormat="1" applyFont="1" applyFill="1"/>
    <xf numFmtId="164" fontId="26" fillId="0" borderId="0" xfId="1" applyNumberFormat="1" applyFont="1"/>
    <xf numFmtId="43" fontId="0" fillId="0" borderId="0" xfId="0" applyNumberFormat="1"/>
    <xf numFmtId="179" fontId="0" fillId="0" borderId="0" xfId="1" applyNumberFormat="1" applyFont="1"/>
    <xf numFmtId="2" fontId="5" fillId="0" borderId="0" xfId="0" applyNumberFormat="1" applyFont="1"/>
    <xf numFmtId="1" fontId="5" fillId="0" borderId="0" xfId="1" applyNumberFormat="1" applyFont="1"/>
    <xf numFmtId="164" fontId="5" fillId="0" borderId="2" xfId="1" applyNumberFormat="1" applyFont="1" applyBorder="1"/>
    <xf numFmtId="164" fontId="26" fillId="0" borderId="2" xfId="1" applyNumberFormat="1" applyFont="1" applyBorder="1"/>
    <xf numFmtId="164" fontId="5" fillId="12" borderId="0" xfId="1" applyNumberFormat="1" applyFont="1" applyFill="1" applyAlignment="1">
      <alignment horizontal="right"/>
    </xf>
    <xf numFmtId="164" fontId="6" fillId="12" borderId="0" xfId="1" applyNumberFormat="1" applyFont="1" applyFill="1" applyAlignment="1">
      <alignment horizontal="left"/>
    </xf>
    <xf numFmtId="9" fontId="0" fillId="0" borderId="0" xfId="2" applyFont="1"/>
    <xf numFmtId="164" fontId="5" fillId="12" borderId="0" xfId="1" applyNumberFormat="1" applyFont="1" applyFill="1" applyAlignment="1">
      <alignment horizontal="left"/>
    </xf>
    <xf numFmtId="0" fontId="5" fillId="0" borderId="0" xfId="1" applyNumberFormat="1" applyFont="1"/>
    <xf numFmtId="0" fontId="19" fillId="0" borderId="0" xfId="5" applyFont="1"/>
    <xf numFmtId="0" fontId="28" fillId="0" borderId="5" xfId="0" applyFont="1" applyBorder="1" applyAlignment="1">
      <alignment horizontal="center"/>
    </xf>
    <xf numFmtId="10" fontId="28" fillId="0" borderId="14" xfId="2" applyNumberFormat="1" applyFont="1" applyBorder="1" applyAlignment="1">
      <alignment horizontal="center"/>
    </xf>
    <xf numFmtId="164" fontId="6" fillId="0" borderId="0" xfId="0" applyNumberFormat="1" applyFont="1"/>
    <xf numFmtId="0" fontId="8" fillId="0" borderId="0" xfId="0" applyFont="1"/>
    <xf numFmtId="164" fontId="10" fillId="0" borderId="0" xfId="0" applyNumberFormat="1" applyFont="1"/>
    <xf numFmtId="0" fontId="5" fillId="8" borderId="0" xfId="0" applyFont="1" applyFill="1"/>
    <xf numFmtId="164" fontId="5" fillId="11" borderId="0" xfId="1" applyNumberFormat="1" applyFont="1" applyFill="1"/>
    <xf numFmtId="0" fontId="6" fillId="11" borderId="0" xfId="0" applyFont="1" applyFill="1"/>
    <xf numFmtId="6" fontId="6" fillId="0" borderId="0" xfId="0" applyNumberFormat="1" applyFont="1"/>
    <xf numFmtId="164" fontId="8" fillId="0" borderId="0" xfId="1" applyNumberFormat="1" applyFont="1"/>
    <xf numFmtId="0" fontId="5" fillId="12" borderId="0" xfId="0" applyFont="1" applyFill="1" applyAlignment="1">
      <alignment horizontal="left"/>
    </xf>
    <xf numFmtId="0" fontId="6" fillId="12" borderId="0" xfId="0" applyFont="1" applyFill="1" applyAlignment="1">
      <alignment horizontal="left"/>
    </xf>
    <xf numFmtId="43" fontId="5" fillId="0" borderId="0" xfId="0" applyNumberFormat="1" applyFont="1"/>
    <xf numFmtId="180" fontId="5" fillId="0" borderId="0" xfId="2" applyNumberFormat="1" applyFont="1"/>
    <xf numFmtId="178" fontId="1" fillId="0" borderId="0" xfId="1" applyNumberFormat="1" applyFont="1"/>
    <xf numFmtId="178" fontId="2" fillId="0" borderId="0" xfId="0" applyNumberFormat="1" applyFont="1"/>
    <xf numFmtId="0" fontId="27" fillId="0" borderId="0" xfId="0" applyFont="1"/>
    <xf numFmtId="173" fontId="0" fillId="0" borderId="0" xfId="1" applyNumberFormat="1" applyFont="1"/>
    <xf numFmtId="14" fontId="27" fillId="0" borderId="0" xfId="0" applyNumberFormat="1" applyFont="1"/>
    <xf numFmtId="0" fontId="5" fillId="11" borderId="0" xfId="0" applyFont="1" applyFill="1" applyAlignment="1">
      <alignment horizontal="center"/>
    </xf>
    <xf numFmtId="0" fontId="5" fillId="11" borderId="19" xfId="0" applyFont="1" applyFill="1" applyBorder="1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6" fillId="11" borderId="24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181" fontId="0" fillId="0" borderId="0" xfId="1" applyNumberFormat="1" applyFont="1" applyAlignment="1">
      <alignment horizontal="right"/>
    </xf>
    <xf numFmtId="0" fontId="2" fillId="0" borderId="1" xfId="0" applyFont="1" applyBorder="1"/>
    <xf numFmtId="0" fontId="2" fillId="0" borderId="4" xfId="0" applyFont="1" applyBorder="1"/>
    <xf numFmtId="168" fontId="2" fillId="0" borderId="4" xfId="0" applyNumberFormat="1" applyFont="1" applyBorder="1"/>
    <xf numFmtId="10" fontId="2" fillId="0" borderId="1" xfId="2" applyNumberFormat="1" applyFont="1" applyBorder="1" applyAlignment="1">
      <alignment horizontal="right"/>
    </xf>
    <xf numFmtId="10" fontId="2" fillId="0" borderId="2" xfId="2" applyNumberFormat="1" applyFont="1" applyBorder="1" applyAlignment="1">
      <alignment horizontal="right"/>
    </xf>
    <xf numFmtId="43" fontId="0" fillId="0" borderId="0" xfId="1" applyFont="1" applyAlignment="1">
      <alignment horizontal="center"/>
    </xf>
    <xf numFmtId="43" fontId="6" fillId="12" borderId="0" xfId="1" applyFont="1" applyFill="1" applyAlignment="1">
      <alignment horizontal="center"/>
    </xf>
    <xf numFmtId="43" fontId="2" fillId="0" borderId="0" xfId="1" applyFont="1" applyAlignment="1">
      <alignment horizontal="center"/>
    </xf>
    <xf numFmtId="0" fontId="5" fillId="12" borderId="19" xfId="0" applyFont="1" applyFill="1" applyBorder="1"/>
    <xf numFmtId="165" fontId="8" fillId="0" borderId="19" xfId="0" applyNumberFormat="1" applyFont="1" applyBorder="1"/>
    <xf numFmtId="0" fontId="6" fillId="0" borderId="20" xfId="0" applyFont="1" applyBorder="1"/>
    <xf numFmtId="165" fontId="6" fillId="0" borderId="19" xfId="0" applyNumberFormat="1" applyFont="1" applyBorder="1"/>
    <xf numFmtId="8" fontId="0" fillId="0" borderId="0" xfId="0" applyNumberFormat="1"/>
    <xf numFmtId="182" fontId="0" fillId="0" borderId="0" xfId="1" applyNumberFormat="1" applyFont="1"/>
    <xf numFmtId="181" fontId="0" fillId="0" borderId="0" xfId="1" applyNumberFormat="1" applyFont="1"/>
    <xf numFmtId="172" fontId="0" fillId="0" borderId="0" xfId="2" applyNumberFormat="1" applyFont="1"/>
    <xf numFmtId="9" fontId="5" fillId="15" borderId="6" xfId="0" applyNumberFormat="1" applyFont="1" applyFill="1" applyBorder="1"/>
    <xf numFmtId="0" fontId="5" fillId="15" borderId="8" xfId="0" applyFont="1" applyFill="1" applyBorder="1"/>
    <xf numFmtId="164" fontId="0" fillId="0" borderId="0" xfId="2" applyNumberFormat="1" applyFont="1"/>
    <xf numFmtId="0" fontId="3" fillId="0" borderId="20" xfId="0" applyFont="1" applyBorder="1"/>
    <xf numFmtId="0" fontId="3" fillId="0" borderId="9" xfId="0" applyFont="1" applyBorder="1"/>
    <xf numFmtId="164" fontId="3" fillId="0" borderId="9" xfId="0" applyNumberFormat="1" applyFont="1" applyBorder="1"/>
    <xf numFmtId="164" fontId="3" fillId="0" borderId="22" xfId="0" applyNumberFormat="1" applyFont="1" applyBorder="1"/>
    <xf numFmtId="164" fontId="29" fillId="0" borderId="0" xfId="0" applyNumberFormat="1" applyFont="1"/>
    <xf numFmtId="43" fontId="0" fillId="0" borderId="2" xfId="1" applyFont="1" applyBorder="1" applyAlignment="1">
      <alignment horizontal="center"/>
    </xf>
    <xf numFmtId="172" fontId="4" fillId="0" borderId="0" xfId="0" applyNumberFormat="1" applyFont="1"/>
    <xf numFmtId="0" fontId="6" fillId="0" borderId="0" xfId="0" applyFont="1"/>
    <xf numFmtId="0" fontId="5" fillId="11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5" fontId="5" fillId="0" borderId="0" xfId="1" applyNumberFormat="1" applyFont="1" applyBorder="1" applyAlignment="1">
      <alignment horizontal="center" vertical="center"/>
    </xf>
    <xf numFmtId="0" fontId="5" fillId="11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</cellXfs>
  <cellStyles count="6">
    <cellStyle name="Comma" xfId="1" builtinId="3"/>
    <cellStyle name="Comma 2" xfId="3" xr:uid="{1F467AB3-6CF4-49FD-9C4D-06CC34F6FA07}"/>
    <cellStyle name="Comma 3" xfId="4" xr:uid="{B5CAC797-ABBE-4136-8EB1-050760B60DAB}"/>
    <cellStyle name="Hyperlink" xfId="5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Beta!$F$1:$F$2</c:f>
              <c:strCache>
                <c:ptCount val="2"/>
                <c:pt idx="0">
                  <c:v>SalMar monthly return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535982386161857"/>
                  <c:y val="-0.148177356300473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Beta!$E$3:$E$61</c:f>
              <c:numCache>
                <c:formatCode>0.00%</c:formatCode>
                <c:ptCount val="59"/>
                <c:pt idx="0">
                  <c:v>-4.1118060661342951E-3</c:v>
                </c:pt>
                <c:pt idx="1">
                  <c:v>-3.5059381544631984E-3</c:v>
                </c:pt>
                <c:pt idx="2">
                  <c:v>1.4261826477115509E-2</c:v>
                </c:pt>
                <c:pt idx="3">
                  <c:v>1.817512038919843E-2</c:v>
                </c:pt>
                <c:pt idx="4">
                  <c:v>-1.6555465767100812E-2</c:v>
                </c:pt>
                <c:pt idx="5">
                  <c:v>4.8569944994576002E-2</c:v>
                </c:pt>
                <c:pt idx="6">
                  <c:v>1.004762378605591E-2</c:v>
                </c:pt>
                <c:pt idx="7">
                  <c:v>5.8415711262895513E-2</c:v>
                </c:pt>
                <c:pt idx="8">
                  <c:v>3.0469019113175417E-2</c:v>
                </c:pt>
                <c:pt idx="9">
                  <c:v>-1.2541043248661624E-2</c:v>
                </c:pt>
                <c:pt idx="10">
                  <c:v>2.2112614515123138E-2</c:v>
                </c:pt>
                <c:pt idx="11">
                  <c:v>-4.2237116450555712E-3</c:v>
                </c:pt>
                <c:pt idx="12">
                  <c:v>1.0801358666337645E-2</c:v>
                </c:pt>
                <c:pt idx="13">
                  <c:v>-1.7626910776756648E-2</c:v>
                </c:pt>
                <c:pt idx="14">
                  <c:v>6.7848823480179538E-2</c:v>
                </c:pt>
                <c:pt idx="15">
                  <c:v>1.8093862042345109E-2</c:v>
                </c:pt>
                <c:pt idx="16">
                  <c:v>4.1346798671718591E-3</c:v>
                </c:pt>
                <c:pt idx="17">
                  <c:v>1.9632832888399562E-2</c:v>
                </c:pt>
                <c:pt idx="18">
                  <c:v>1.147922548471509E-2</c:v>
                </c:pt>
                <c:pt idx="19">
                  <c:v>3.4818965611578358E-2</c:v>
                </c:pt>
                <c:pt idx="20">
                  <c:v>-5.1798047963271858E-2</c:v>
                </c:pt>
                <c:pt idx="21">
                  <c:v>-3.2237027482858421E-2</c:v>
                </c:pt>
                <c:pt idx="22">
                  <c:v>-7.145341288888038E-2</c:v>
                </c:pt>
                <c:pt idx="23">
                  <c:v>4.4842737614714613E-2</c:v>
                </c:pt>
                <c:pt idx="24">
                  <c:v>3.5878932458318386E-2</c:v>
                </c:pt>
                <c:pt idx="25">
                  <c:v>-2.5079094943493275E-3</c:v>
                </c:pt>
                <c:pt idx="26">
                  <c:v>2.0623082005012356E-2</c:v>
                </c:pt>
                <c:pt idx="27">
                  <c:v>-3.271610821007253E-2</c:v>
                </c:pt>
                <c:pt idx="28">
                  <c:v>1.4716728987135557E-2</c:v>
                </c:pt>
                <c:pt idx="29">
                  <c:v>-6.3495251937272686E-3</c:v>
                </c:pt>
                <c:pt idx="30">
                  <c:v>2.5024593924892102E-3</c:v>
                </c:pt>
                <c:pt idx="31">
                  <c:v>2.9386151756661854E-2</c:v>
                </c:pt>
                <c:pt idx="32">
                  <c:v>1.2914518734433189E-2</c:v>
                </c:pt>
                <c:pt idx="33">
                  <c:v>4.8995312719719453E-3</c:v>
                </c:pt>
                <c:pt idx="34">
                  <c:v>3.2134743879863786E-2</c:v>
                </c:pt>
                <c:pt idx="35">
                  <c:v>-1.8938229397972312E-2</c:v>
                </c:pt>
                <c:pt idx="36">
                  <c:v>-9.1430371940404168E-2</c:v>
                </c:pt>
                <c:pt idx="37">
                  <c:v>-0.14830294548330708</c:v>
                </c:pt>
                <c:pt idx="38">
                  <c:v>9.6135052280803823E-2</c:v>
                </c:pt>
                <c:pt idx="39">
                  <c:v>2.7944466487552722E-2</c:v>
                </c:pt>
                <c:pt idx="40">
                  <c:v>-1.9454158177287571E-3</c:v>
                </c:pt>
                <c:pt idx="41">
                  <c:v>3.8995510840861378E-2</c:v>
                </c:pt>
                <c:pt idx="42">
                  <c:v>3.9976799195788094E-2</c:v>
                </c:pt>
                <c:pt idx="43">
                  <c:v>-3.689201130167808E-3</c:v>
                </c:pt>
                <c:pt idx="44">
                  <c:v>-5.1676867624577523E-2</c:v>
                </c:pt>
                <c:pt idx="45">
                  <c:v>0.14601224672574231</c:v>
                </c:pt>
                <c:pt idx="46">
                  <c:v>4.6840524185978116E-2</c:v>
                </c:pt>
                <c:pt idx="47">
                  <c:v>-7.2588962806944242E-3</c:v>
                </c:pt>
                <c:pt idx="48">
                  <c:v>4.1545125662340456E-2</c:v>
                </c:pt>
                <c:pt idx="49">
                  <c:v>5.1426393041213887E-2</c:v>
                </c:pt>
                <c:pt idx="50">
                  <c:v>1.6612173704911515E-2</c:v>
                </c:pt>
                <c:pt idx="51">
                  <c:v>3.3824177302600844E-2</c:v>
                </c:pt>
                <c:pt idx="52">
                  <c:v>7.278522104467589E-3</c:v>
                </c:pt>
                <c:pt idx="53">
                  <c:v>1.1882733071141327E-2</c:v>
                </c:pt>
                <c:pt idx="54">
                  <c:v>6.6826143511339543E-3</c:v>
                </c:pt>
                <c:pt idx="55">
                  <c:v>1.8793863767806892E-2</c:v>
                </c:pt>
                <c:pt idx="56">
                  <c:v>2.5324145005246854E-2</c:v>
                </c:pt>
                <c:pt idx="57">
                  <c:v>-9.6497331613187853E-3</c:v>
                </c:pt>
                <c:pt idx="58">
                  <c:v>1.7066406205754715E-2</c:v>
                </c:pt>
              </c:numCache>
            </c:numRef>
          </c:xVal>
          <c:yVal>
            <c:numRef>
              <c:f>Beta!$F$3:$F$61</c:f>
              <c:numCache>
                <c:formatCode>0.00%</c:formatCode>
                <c:ptCount val="59"/>
                <c:pt idx="0">
                  <c:v>-9.1727528048605608E-2</c:v>
                </c:pt>
                <c:pt idx="1">
                  <c:v>-0.1260027846547902</c:v>
                </c:pt>
                <c:pt idx="2">
                  <c:v>9.9891954197650942E-2</c:v>
                </c:pt>
                <c:pt idx="3">
                  <c:v>0.12272952041161614</c:v>
                </c:pt>
                <c:pt idx="4">
                  <c:v>-9.44468164301141E-2</c:v>
                </c:pt>
                <c:pt idx="5">
                  <c:v>4.0821097713746299E-2</c:v>
                </c:pt>
                <c:pt idx="6">
                  <c:v>0.10024462706548812</c:v>
                </c:pt>
                <c:pt idx="7">
                  <c:v>0</c:v>
                </c:pt>
                <c:pt idx="8">
                  <c:v>8.3110997361516517E-2</c:v>
                </c:pt>
                <c:pt idx="9">
                  <c:v>0</c:v>
                </c:pt>
                <c:pt idx="10">
                  <c:v>1.2720489366310298E-2</c:v>
                </c:pt>
                <c:pt idx="11">
                  <c:v>-0.15072922434971472</c:v>
                </c:pt>
                <c:pt idx="12">
                  <c:v>0.34541956741733548</c:v>
                </c:pt>
                <c:pt idx="13">
                  <c:v>0.13900725594406854</c:v>
                </c:pt>
                <c:pt idx="14">
                  <c:v>0.16749685504095715</c:v>
                </c:pt>
                <c:pt idx="15">
                  <c:v>-4.800002607847962E-2</c:v>
                </c:pt>
                <c:pt idx="16">
                  <c:v>-4.2577114285508366E-2</c:v>
                </c:pt>
                <c:pt idx="17">
                  <c:v>0.28842285061039175</c:v>
                </c:pt>
                <c:pt idx="18">
                  <c:v>-2.8832217037104705E-2</c:v>
                </c:pt>
                <c:pt idx="19">
                  <c:v>4.9479603584506706E-3</c:v>
                </c:pt>
                <c:pt idx="20">
                  <c:v>9.5519450432529754E-2</c:v>
                </c:pt>
                <c:pt idx="21">
                  <c:v>8.8988735867447169E-2</c:v>
                </c:pt>
                <c:pt idx="22">
                  <c:v>-0.11679727695943276</c:v>
                </c:pt>
                <c:pt idx="23">
                  <c:v>3.0373760281949137E-2</c:v>
                </c:pt>
                <c:pt idx="24">
                  <c:v>-6.9841187009894987E-2</c:v>
                </c:pt>
                <c:pt idx="25">
                  <c:v>8.7760550809849892E-3</c:v>
                </c:pt>
                <c:pt idx="26">
                  <c:v>-5.2682360729108632E-2</c:v>
                </c:pt>
                <c:pt idx="27">
                  <c:v>2.0408079822111871E-2</c:v>
                </c:pt>
                <c:pt idx="28">
                  <c:v>-7.2750004657089973E-2</c:v>
                </c:pt>
                <c:pt idx="29">
                  <c:v>0.17301943618733484</c:v>
                </c:pt>
                <c:pt idx="30">
                  <c:v>5.6410297358766306E-2</c:v>
                </c:pt>
                <c:pt idx="31">
                  <c:v>-7.7670020882284377E-2</c:v>
                </c:pt>
                <c:pt idx="32">
                  <c:v>7.3934959000967582E-2</c:v>
                </c:pt>
                <c:pt idx="33">
                  <c:v>2.4504010689142694E-2</c:v>
                </c:pt>
                <c:pt idx="34">
                  <c:v>2.3462475155810753E-2</c:v>
                </c:pt>
                <c:pt idx="35">
                  <c:v>5.3416662896978604E-3</c:v>
                </c:pt>
                <c:pt idx="36">
                  <c:v>-6.8850976380127077E-2</c:v>
                </c:pt>
                <c:pt idx="37">
                  <c:v>-0.17403719264424367</c:v>
                </c:pt>
                <c:pt idx="38">
                  <c:v>0.15141047803114019</c:v>
                </c:pt>
                <c:pt idx="39">
                  <c:v>9.3000135071018952E-2</c:v>
                </c:pt>
                <c:pt idx="40">
                  <c:v>5.00913989201177E-2</c:v>
                </c:pt>
                <c:pt idx="41">
                  <c:v>-5.9899775561294465E-2</c:v>
                </c:pt>
                <c:pt idx="42">
                  <c:v>9.7080594298075279E-2</c:v>
                </c:pt>
                <c:pt idx="43">
                  <c:v>0.11721228251681423</c:v>
                </c:pt>
                <c:pt idx="44">
                  <c:v>-8.7901698866311009E-2</c:v>
                </c:pt>
                <c:pt idx="45">
                  <c:v>1.0362690106654679E-2</c:v>
                </c:pt>
                <c:pt idx="46">
                  <c:v>3.3025628829237763E-2</c:v>
                </c:pt>
                <c:pt idx="47">
                  <c:v>5.4764381052992493E-2</c:v>
                </c:pt>
                <c:pt idx="48">
                  <c:v>0.10328827712502164</c:v>
                </c:pt>
                <c:pt idx="49">
                  <c:v>3.4361706558449723E-2</c:v>
                </c:pt>
                <c:pt idx="50">
                  <c:v>-2.0677937230626088E-2</c:v>
                </c:pt>
                <c:pt idx="51">
                  <c:v>6.2997542846136637E-2</c:v>
                </c:pt>
                <c:pt idx="52">
                  <c:v>-7.0009747007520662E-2</c:v>
                </c:pt>
                <c:pt idx="53">
                  <c:v>5.9853394209290776E-2</c:v>
                </c:pt>
                <c:pt idx="54">
                  <c:v>-5.8001482899343463E-3</c:v>
                </c:pt>
                <c:pt idx="55">
                  <c:v>-2.0590807235869274E-3</c:v>
                </c:pt>
                <c:pt idx="56">
                  <c:v>0.10557088944361499</c:v>
                </c:pt>
                <c:pt idx="57">
                  <c:v>-0.10762049762237962</c:v>
                </c:pt>
                <c:pt idx="58">
                  <c:v>5.960268320544948E-2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41-498A-86D1-F1226DA65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74447"/>
        <c:axId val="1538574927"/>
      </c:scatterChart>
      <c:valAx>
        <c:axId val="15385744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b="1"/>
                  <a:t>SalMar.OL monthly return</a:t>
                </a:r>
              </a:p>
            </c:rich>
          </c:tx>
          <c:layout>
            <c:manualLayout>
              <c:xMode val="edge"/>
              <c:yMode val="edge"/>
              <c:x val="0.37595122515049328"/>
              <c:y val="5.88970198667835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8574927"/>
        <c:crosses val="autoZero"/>
        <c:crossBetween val="midCat"/>
      </c:valAx>
      <c:valAx>
        <c:axId val="153857492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b="1"/>
                  <a:t>OSEBX index</a:t>
                </a:r>
                <a:r>
                  <a:rPr lang="nb-NO" b="1" baseline="0"/>
                  <a:t> </a:t>
                </a:r>
                <a:r>
                  <a:rPr lang="nb-NO" b="1"/>
                  <a:t>return	</a:t>
                </a:r>
              </a:p>
            </c:rich>
          </c:tx>
          <c:layout>
            <c:manualLayout>
              <c:xMode val="edge"/>
              <c:yMode val="edge"/>
              <c:x val="0.74748436964656384"/>
              <c:y val="0.65638849511981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\ 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85744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494695</xdr:colOff>
      <xdr:row>32</xdr:row>
      <xdr:rowOff>133477</xdr:rowOff>
    </xdr:from>
    <xdr:to>
      <xdr:col>20</xdr:col>
      <xdr:colOff>294323</xdr:colOff>
      <xdr:row>35</xdr:row>
      <xdr:rowOff>67425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02BF31-D577-16DE-C5D7-A86AB6650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4647" y="5800096"/>
          <a:ext cx="3196017" cy="460091"/>
        </a:xfrm>
        <a:prstGeom prst="rect">
          <a:avLst/>
        </a:prstGeom>
      </xdr:spPr>
    </xdr:pic>
    <xdr:clientData/>
  </xdr:twoCellAnchor>
  <xdr:twoCellAnchor editAs="oneCell">
    <xdr:from>
      <xdr:col>17</xdr:col>
      <xdr:colOff>119826</xdr:colOff>
      <xdr:row>45</xdr:row>
      <xdr:rowOff>110742</xdr:rowOff>
    </xdr:from>
    <xdr:to>
      <xdr:col>21</xdr:col>
      <xdr:colOff>447283</xdr:colOff>
      <xdr:row>60</xdr:row>
      <xdr:rowOff>166690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7FCB13-ED8B-F52A-07E7-DB84D92F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411" y="8474157"/>
          <a:ext cx="4520512" cy="2707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1064382</xdr:colOff>
      <xdr:row>14</xdr:row>
      <xdr:rowOff>13607</xdr:rowOff>
    </xdr:from>
    <xdr:to>
      <xdr:col>19</xdr:col>
      <xdr:colOff>641590</xdr:colOff>
      <xdr:row>16</xdr:row>
      <xdr:rowOff>22600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5F83225-CB30-8817-9053-9680B3650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84334" y="2523369"/>
          <a:ext cx="2274948" cy="359755"/>
        </a:xfrm>
        <a:prstGeom prst="rect">
          <a:avLst/>
        </a:prstGeom>
      </xdr:spPr>
    </xdr:pic>
    <xdr:clientData/>
  </xdr:twoCellAnchor>
  <xdr:twoCellAnchor editAs="oneCell">
    <xdr:from>
      <xdr:col>17</xdr:col>
      <xdr:colOff>962782</xdr:colOff>
      <xdr:row>16</xdr:row>
      <xdr:rowOff>122676</xdr:rowOff>
    </xdr:from>
    <xdr:to>
      <xdr:col>21</xdr:col>
      <xdr:colOff>294771</xdr:colOff>
      <xdr:row>17</xdr:row>
      <xdr:rowOff>70441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C18D970-5CA4-4E94-0A2E-FE0880E59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488782" y="3015317"/>
          <a:ext cx="3527840" cy="1253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384629</xdr:colOff>
      <xdr:row>18</xdr:row>
      <xdr:rowOff>116115</xdr:rowOff>
    </xdr:from>
    <xdr:to>
      <xdr:col>19</xdr:col>
      <xdr:colOff>1143000</xdr:colOff>
      <xdr:row>23</xdr:row>
      <xdr:rowOff>61512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3AD6EB-2B64-9185-6EC1-6F5024768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48679" y="3545115"/>
          <a:ext cx="2644321" cy="897896"/>
        </a:xfrm>
        <a:prstGeom prst="rect">
          <a:avLst/>
        </a:prstGeom>
      </xdr:spPr>
    </xdr:pic>
    <xdr:clientData/>
  </xdr:twoCellAnchor>
  <xdr:twoCellAnchor editAs="oneCell">
    <xdr:from>
      <xdr:col>16</xdr:col>
      <xdr:colOff>113030</xdr:colOff>
      <xdr:row>24</xdr:row>
      <xdr:rowOff>173082</xdr:rowOff>
    </xdr:from>
    <xdr:to>
      <xdr:col>19</xdr:col>
      <xdr:colOff>1390418</xdr:colOff>
      <xdr:row>28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D2F3FE-FD7F-3BE6-B8CF-F99F7FED5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77080" y="4745082"/>
          <a:ext cx="3163338" cy="760368"/>
        </a:xfrm>
        <a:prstGeom prst="rect">
          <a:avLst/>
        </a:prstGeom>
      </xdr:spPr>
    </xdr:pic>
    <xdr:clientData/>
  </xdr:twoCellAnchor>
  <xdr:twoCellAnchor>
    <xdr:from>
      <xdr:col>9</xdr:col>
      <xdr:colOff>593554</xdr:colOff>
      <xdr:row>29</xdr:row>
      <xdr:rowOff>178630</xdr:rowOff>
    </xdr:from>
    <xdr:to>
      <xdr:col>15</xdr:col>
      <xdr:colOff>1595386</xdr:colOff>
      <xdr:row>46</xdr:row>
      <xdr:rowOff>142379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237AFE2-7A36-231C-65C5-A563AF7CF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479778</xdr:colOff>
      <xdr:row>68</xdr:row>
      <xdr:rowOff>70556</xdr:rowOff>
    </xdr:from>
    <xdr:to>
      <xdr:col>15</xdr:col>
      <xdr:colOff>841145</xdr:colOff>
      <xdr:row>72</xdr:row>
      <xdr:rowOff>130686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74EF0E-1EC6-F359-8D76-B470D30CE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35556" y="12728223"/>
          <a:ext cx="4848700" cy="7939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525873</xdr:colOff>
      <xdr:row>2</xdr:row>
      <xdr:rowOff>86102</xdr:rowOff>
    </xdr:from>
    <xdr:to>
      <xdr:col>31</xdr:col>
      <xdr:colOff>122742</xdr:colOff>
      <xdr:row>15</xdr:row>
      <xdr:rowOff>121476</xdr:rowOff>
    </xdr:to>
    <xdr:pic>
      <xdr:nvPicPr>
        <xdr:cNvPr id="2" name="Picture 1" descr="Ingen beskrivelse er tilgjengelig.">
          <a:extLst>
            <a:ext uri="{FF2B5EF4-FFF2-40B4-BE49-F238E27FC236}">
              <a16:creationId xmlns:a16="http://schemas.microsoft.com/office/drawing/2014/main" id="{13C16737-0755-F6C0-A292-7B6A2786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5167" y="444690"/>
          <a:ext cx="9278751" cy="2366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8</xdr:row>
      <xdr:rowOff>0</xdr:rowOff>
    </xdr:from>
    <xdr:to>
      <xdr:col>28</xdr:col>
      <xdr:colOff>335943</xdr:colOff>
      <xdr:row>22</xdr:row>
      <xdr:rowOff>1930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F5C809-E631-EF60-6A65-F2B1E725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06400" y="1557867"/>
          <a:ext cx="7651143" cy="2728196"/>
        </a:xfrm>
        <a:prstGeom prst="rect">
          <a:avLst/>
        </a:prstGeom>
      </xdr:spPr>
    </xdr:pic>
    <xdr:clientData/>
  </xdr:twoCellAnchor>
  <xdr:twoCellAnchor>
    <xdr:from>
      <xdr:col>16</xdr:col>
      <xdr:colOff>221225</xdr:colOff>
      <xdr:row>24</xdr:row>
      <xdr:rowOff>147484</xdr:rowOff>
    </xdr:from>
    <xdr:to>
      <xdr:col>19</xdr:col>
      <xdr:colOff>196644</xdr:colOff>
      <xdr:row>29</xdr:row>
      <xdr:rowOff>24580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ED011ED9-6C3E-2BCE-8B04-31697FC244CD}"/>
            </a:ext>
          </a:extLst>
        </xdr:cNvPr>
        <xdr:cNvSpPr/>
      </xdr:nvSpPr>
      <xdr:spPr>
        <a:xfrm>
          <a:off x="13306322" y="4866968"/>
          <a:ext cx="1794387" cy="86032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/>
            <a:t>Kvalitativ analyse:</a:t>
          </a:r>
          <a:r>
            <a:rPr lang="nb-NO" sz="1100" baseline="0"/>
            <a:t> </a:t>
          </a:r>
        </a:p>
        <a:p>
          <a:pPr algn="l"/>
          <a:r>
            <a:rPr lang="nb-NO" sz="1100" baseline="0"/>
            <a:t>Likviditetsanalyse</a:t>
          </a:r>
        </a:p>
        <a:p>
          <a:pPr algn="l"/>
          <a:r>
            <a:rPr lang="nb-NO" sz="1100" baseline="0"/>
            <a:t>Lønnsomhetsanalyse</a:t>
          </a:r>
          <a:endParaRPr lang="nb-NO" sz="1100"/>
        </a:p>
      </xdr:txBody>
    </xdr:sp>
    <xdr:clientData/>
  </xdr:twoCellAnchor>
  <xdr:twoCellAnchor>
    <xdr:from>
      <xdr:col>16</xdr:col>
      <xdr:colOff>245806</xdr:colOff>
      <xdr:row>30</xdr:row>
      <xdr:rowOff>49161</xdr:rowOff>
    </xdr:from>
    <xdr:to>
      <xdr:col>19</xdr:col>
      <xdr:colOff>221225</xdr:colOff>
      <xdr:row>34</xdr:row>
      <xdr:rowOff>122903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3D614ACE-8A4D-4766-A579-20A32B4F8CA9}"/>
            </a:ext>
          </a:extLst>
        </xdr:cNvPr>
        <xdr:cNvSpPr/>
      </xdr:nvSpPr>
      <xdr:spPr>
        <a:xfrm>
          <a:off x="13330903" y="5948516"/>
          <a:ext cx="1794387" cy="86032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/>
            <a:t>Kvanitativ analyse:</a:t>
          </a:r>
        </a:p>
        <a:p>
          <a:pPr algn="l"/>
          <a:r>
            <a:rPr lang="nb-NO" sz="1100"/>
            <a:t>Porters fem krefter</a:t>
          </a:r>
        </a:p>
        <a:p>
          <a:pPr algn="l"/>
          <a:r>
            <a:rPr lang="nb-NO" sz="1100"/>
            <a:t>SWOT</a:t>
          </a:r>
        </a:p>
        <a:p>
          <a:pPr algn="l"/>
          <a:r>
            <a:rPr lang="nb-NO" sz="1100"/>
            <a:t>PESTEL</a:t>
          </a:r>
        </a:p>
      </xdr:txBody>
    </xdr:sp>
    <xdr:clientData/>
  </xdr:twoCellAnchor>
  <xdr:twoCellAnchor>
    <xdr:from>
      <xdr:col>20</xdr:col>
      <xdr:colOff>73743</xdr:colOff>
      <xdr:row>26</xdr:row>
      <xdr:rowOff>147484</xdr:rowOff>
    </xdr:from>
    <xdr:to>
      <xdr:col>23</xdr:col>
      <xdr:colOff>278581</xdr:colOff>
      <xdr:row>32</xdr:row>
      <xdr:rowOff>73742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9A15581B-9D57-46BD-9ABD-210CE3D45614}"/>
            </a:ext>
          </a:extLst>
        </xdr:cNvPr>
        <xdr:cNvSpPr/>
      </xdr:nvSpPr>
      <xdr:spPr>
        <a:xfrm>
          <a:off x="15584130" y="5260258"/>
          <a:ext cx="2023806" cy="1106129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/>
            <a:t>Kvalitativ analyse:</a:t>
          </a:r>
          <a:r>
            <a:rPr lang="nb-NO" sz="1100" baseline="0"/>
            <a:t> </a:t>
          </a:r>
        </a:p>
        <a:p>
          <a:pPr algn="l"/>
          <a:r>
            <a:rPr lang="nb-NO" sz="1100" baseline="0"/>
            <a:t>Likviditetsanalyse</a:t>
          </a:r>
        </a:p>
        <a:p>
          <a:pPr algn="l"/>
          <a:r>
            <a:rPr lang="nb-NO" sz="1100" baseline="0"/>
            <a:t>Lønnsomhetsanalyse</a:t>
          </a:r>
          <a:endParaRPr lang="nb-NO" sz="1100"/>
        </a:p>
      </xdr:txBody>
    </xdr:sp>
    <xdr:clientData/>
  </xdr:twoCellAnchor>
  <xdr:twoCellAnchor>
    <xdr:from>
      <xdr:col>24</xdr:col>
      <xdr:colOff>106516</xdr:colOff>
      <xdr:row>26</xdr:row>
      <xdr:rowOff>160405</xdr:rowOff>
    </xdr:from>
    <xdr:to>
      <xdr:col>27</xdr:col>
      <xdr:colOff>268654</xdr:colOff>
      <xdr:row>32</xdr:row>
      <xdr:rowOff>48847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47073EA4-547F-42EA-8630-0DBA9E13B5B1}"/>
            </a:ext>
          </a:extLst>
        </xdr:cNvPr>
        <xdr:cNvSpPr/>
      </xdr:nvSpPr>
      <xdr:spPr>
        <a:xfrm>
          <a:off x="18096554" y="5367405"/>
          <a:ext cx="1993869" cy="109005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/>
            <a:t>Kvalitativ analyse:</a:t>
          </a:r>
          <a:r>
            <a:rPr lang="nb-NO" sz="1100" baseline="0"/>
            <a:t> </a:t>
          </a:r>
        </a:p>
        <a:p>
          <a:pPr algn="l"/>
          <a:r>
            <a:rPr lang="nb-NO" sz="1100" baseline="0"/>
            <a:t>Likviditetsanalyse</a:t>
          </a:r>
        </a:p>
        <a:p>
          <a:pPr algn="l"/>
          <a:r>
            <a:rPr lang="nb-NO" sz="1100" baseline="0"/>
            <a:t>Lønnsomhetsanalyse</a:t>
          </a:r>
          <a:endParaRPr lang="nb-NO" sz="1100"/>
        </a:p>
      </xdr:txBody>
    </xdr:sp>
    <xdr:clientData/>
  </xdr:twoCellAnchor>
  <xdr:twoCellAnchor>
    <xdr:from>
      <xdr:col>19</xdr:col>
      <xdr:colOff>196644</xdr:colOff>
      <xdr:row>26</xdr:row>
      <xdr:rowOff>183643</xdr:rowOff>
    </xdr:from>
    <xdr:to>
      <xdr:col>20</xdr:col>
      <xdr:colOff>73743</xdr:colOff>
      <xdr:row>29</xdr:row>
      <xdr:rowOff>110613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DA30806F-6074-DDE9-FB40-D2F24A91C393}"/>
            </a:ext>
          </a:extLst>
        </xdr:cNvPr>
        <xdr:cNvCxnSpPr>
          <a:stCxn id="3" idx="3"/>
          <a:endCxn id="5" idx="1"/>
        </xdr:cNvCxnSpPr>
      </xdr:nvCxnSpPr>
      <xdr:spPr>
        <a:xfrm>
          <a:off x="15128065" y="5259445"/>
          <a:ext cx="487959" cy="512639"/>
        </a:xfrm>
        <a:prstGeom prst="lin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221225</xdr:colOff>
      <xdr:row>29</xdr:row>
      <xdr:rowOff>110613</xdr:rowOff>
    </xdr:from>
    <xdr:to>
      <xdr:col>20</xdr:col>
      <xdr:colOff>73743</xdr:colOff>
      <xdr:row>32</xdr:row>
      <xdr:rowOff>86032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A023B42E-FE66-6D80-87C8-8CBC2C87EF41}"/>
            </a:ext>
          </a:extLst>
        </xdr:cNvPr>
        <xdr:cNvCxnSpPr>
          <a:stCxn id="4" idx="3"/>
          <a:endCxn id="5" idx="1"/>
        </xdr:cNvCxnSpPr>
      </xdr:nvCxnSpPr>
      <xdr:spPr>
        <a:xfrm flipV="1">
          <a:off x="15125290" y="5813323"/>
          <a:ext cx="458840" cy="565354"/>
        </a:xfrm>
        <a:prstGeom prst="lin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278581</xdr:colOff>
      <xdr:row>29</xdr:row>
      <xdr:rowOff>104626</xdr:rowOff>
    </xdr:from>
    <xdr:to>
      <xdr:col>24</xdr:col>
      <xdr:colOff>106516</xdr:colOff>
      <xdr:row>29</xdr:row>
      <xdr:rowOff>110613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1C46008-DA1C-48D1-97BA-F174D23EA6E6}"/>
            </a:ext>
          </a:extLst>
        </xdr:cNvPr>
        <xdr:cNvCxnSpPr>
          <a:stCxn id="5" idx="3"/>
          <a:endCxn id="6" idx="1"/>
        </xdr:cNvCxnSpPr>
      </xdr:nvCxnSpPr>
      <xdr:spPr>
        <a:xfrm flipV="1">
          <a:off x="17658043" y="5912434"/>
          <a:ext cx="438511" cy="5987"/>
        </a:xfrm>
        <a:prstGeom prst="lin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209448</xdr:colOff>
      <xdr:row>24</xdr:row>
      <xdr:rowOff>104466</xdr:rowOff>
    </xdr:from>
    <xdr:to>
      <xdr:col>19</xdr:col>
      <xdr:colOff>240003</xdr:colOff>
      <xdr:row>29</xdr:row>
      <xdr:rowOff>92065</xdr:rowOff>
    </xdr:to>
    <xdr:sp macro="" textlink="">
      <xdr:nvSpPr>
        <xdr:cNvPr id="34" name="Rectangle: Rounded Corners 33">
          <a:extLst>
            <a:ext uri="{FF2B5EF4-FFF2-40B4-BE49-F238E27FC236}">
              <a16:creationId xmlns:a16="http://schemas.microsoft.com/office/drawing/2014/main" id="{32ABF858-7D7A-4251-8116-6BEBC566C221}"/>
            </a:ext>
          </a:extLst>
        </xdr:cNvPr>
        <xdr:cNvSpPr/>
      </xdr:nvSpPr>
      <xdr:spPr>
        <a:xfrm>
          <a:off x="13302429" y="4820240"/>
          <a:ext cx="1856480" cy="97005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b-NO" sz="1100">
              <a:solidFill>
                <a:schemeClr val="tx1"/>
              </a:solidFill>
            </a:rPr>
            <a:t>Kvalitativ analyse:</a:t>
          </a:r>
          <a:r>
            <a:rPr lang="nb-NO" sz="1100" baseline="0">
              <a:solidFill>
                <a:schemeClr val="tx1"/>
              </a:solidFill>
            </a:rPr>
            <a:t> </a:t>
          </a:r>
        </a:p>
        <a:p>
          <a:pPr algn="ctr"/>
          <a:r>
            <a:rPr lang="nb-NO" sz="1100" baseline="0">
              <a:solidFill>
                <a:schemeClr val="tx1"/>
              </a:solidFill>
            </a:rPr>
            <a:t>Likviditetsanalyse</a:t>
          </a:r>
        </a:p>
        <a:p>
          <a:pPr algn="ctr"/>
          <a:r>
            <a:rPr lang="nb-NO" sz="1100" baseline="0">
              <a:solidFill>
                <a:schemeClr val="tx1"/>
              </a:solidFill>
            </a:rPr>
            <a:t>Lønnsomhetsanalyse</a:t>
          </a:r>
          <a:endParaRPr lang="nb-NO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61966</xdr:colOff>
      <xdr:row>26</xdr:row>
      <xdr:rowOff>104467</xdr:rowOff>
    </xdr:from>
    <xdr:to>
      <xdr:col>23</xdr:col>
      <xdr:colOff>328963</xdr:colOff>
      <xdr:row>32</xdr:row>
      <xdr:rowOff>172847</xdr:rowOff>
    </xdr:to>
    <xdr:sp macro="" textlink="">
      <xdr:nvSpPr>
        <xdr:cNvPr id="36" name="Rectangle: Rounded Corners 35">
          <a:extLst>
            <a:ext uri="{FF2B5EF4-FFF2-40B4-BE49-F238E27FC236}">
              <a16:creationId xmlns:a16="http://schemas.microsoft.com/office/drawing/2014/main" id="{94AEB295-71A7-45C7-B354-8183446ECE1A}"/>
            </a:ext>
          </a:extLst>
        </xdr:cNvPr>
        <xdr:cNvSpPr/>
      </xdr:nvSpPr>
      <xdr:spPr>
        <a:xfrm>
          <a:off x="15587716" y="5195050"/>
          <a:ext cx="2092622" cy="124313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aseline="0">
              <a:solidFill>
                <a:schemeClr val="tx1"/>
              </a:solidFill>
            </a:rPr>
            <a:t>Prognoser:</a:t>
          </a:r>
        </a:p>
        <a:p>
          <a:pPr algn="ctr"/>
          <a:r>
            <a:rPr lang="nb-NO" sz="1100" baseline="0">
              <a:solidFill>
                <a:schemeClr val="tx1"/>
              </a:solidFill>
            </a:rPr>
            <a:t>Fremtidige kontantstrømmer (FCFF) basert på funn og antagelser</a:t>
          </a:r>
          <a:endParaRPr lang="nb-NO" sz="11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94739</xdr:colOff>
      <xdr:row>26</xdr:row>
      <xdr:rowOff>117387</xdr:rowOff>
    </xdr:from>
    <xdr:to>
      <xdr:col>27</xdr:col>
      <xdr:colOff>317729</xdr:colOff>
      <xdr:row>32</xdr:row>
      <xdr:rowOff>143070</xdr:rowOff>
    </xdr:to>
    <xdr:sp macro="" textlink="">
      <xdr:nvSpPr>
        <xdr:cNvPr id="37" name="Rectangle: Rounded Corners 36">
          <a:extLst>
            <a:ext uri="{FF2B5EF4-FFF2-40B4-BE49-F238E27FC236}">
              <a16:creationId xmlns:a16="http://schemas.microsoft.com/office/drawing/2014/main" id="{3934AD8C-DE3C-45B2-8C8C-3543CCD7E937}"/>
            </a:ext>
          </a:extLst>
        </xdr:cNvPr>
        <xdr:cNvSpPr/>
      </xdr:nvSpPr>
      <xdr:spPr>
        <a:xfrm>
          <a:off x="18054656" y="5207970"/>
          <a:ext cx="2048615" cy="1200433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>
              <a:solidFill>
                <a:schemeClr val="tx1"/>
              </a:solidFill>
            </a:rPr>
            <a:t>Verdsettelse:</a:t>
          </a:r>
          <a:endParaRPr lang="nb-NO" sz="1100" baseline="0">
            <a:solidFill>
              <a:schemeClr val="tx1"/>
            </a:solidFill>
          </a:endParaRPr>
        </a:p>
        <a:p>
          <a:pPr algn="ctr"/>
          <a:r>
            <a:rPr lang="nb-NO" sz="1100" baseline="0">
              <a:solidFill>
                <a:schemeClr val="tx1"/>
              </a:solidFill>
            </a:rPr>
            <a:t>Nåverdi beregning (DCF)</a:t>
          </a:r>
        </a:p>
        <a:p>
          <a:pPr algn="ctr"/>
          <a:r>
            <a:rPr lang="nb-NO" sz="1100" baseline="0">
              <a:solidFill>
                <a:schemeClr val="tx1"/>
              </a:solidFill>
            </a:rPr>
            <a:t>Multipler</a:t>
          </a:r>
        </a:p>
        <a:p>
          <a:pPr algn="ctr"/>
          <a:r>
            <a:rPr lang="nb-NO" sz="1100" baseline="0">
              <a:solidFill>
                <a:schemeClr val="tx1"/>
              </a:solidFill>
            </a:rPr>
            <a:t>Monte Carlo simulering</a:t>
          </a:r>
          <a:endParaRPr lang="nb-NO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223445</xdr:colOff>
      <xdr:row>29</xdr:row>
      <xdr:rowOff>138265</xdr:rowOff>
    </xdr:from>
    <xdr:to>
      <xdr:col>19</xdr:col>
      <xdr:colOff>254000</xdr:colOff>
      <xdr:row>34</xdr:row>
      <xdr:rowOff>125863</xdr:rowOff>
    </xdr:to>
    <xdr:sp macro="" textlink="">
      <xdr:nvSpPr>
        <xdr:cNvPr id="40" name="Rectangle: Rounded Corners 39">
          <a:extLst>
            <a:ext uri="{FF2B5EF4-FFF2-40B4-BE49-F238E27FC236}">
              <a16:creationId xmlns:a16="http://schemas.microsoft.com/office/drawing/2014/main" id="{9B450E20-A839-4562-ABA4-DF5DCA4FD6BD}"/>
            </a:ext>
          </a:extLst>
        </xdr:cNvPr>
        <xdr:cNvSpPr/>
      </xdr:nvSpPr>
      <xdr:spPr>
        <a:xfrm>
          <a:off x="13315028" y="5816223"/>
          <a:ext cx="1856180" cy="96655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b-NO" sz="1100">
              <a:solidFill>
                <a:schemeClr val="tx1"/>
              </a:solidFill>
            </a:rPr>
            <a:t>Kvantitativ analyse:</a:t>
          </a:r>
          <a:r>
            <a:rPr lang="nb-NO" sz="1100" baseline="0">
              <a:solidFill>
                <a:schemeClr val="tx1"/>
              </a:solidFill>
            </a:rPr>
            <a:t> </a:t>
          </a:r>
          <a:br>
            <a:rPr lang="nb-NO" sz="1100" baseline="0">
              <a:solidFill>
                <a:schemeClr val="tx1"/>
              </a:solidFill>
            </a:rPr>
          </a:br>
          <a:r>
            <a:rPr lang="nb-NO" sz="1100" baseline="0">
              <a:solidFill>
                <a:schemeClr val="tx1"/>
              </a:solidFill>
            </a:rPr>
            <a:t>Porters fem krefter</a:t>
          </a:r>
        </a:p>
        <a:p>
          <a:pPr algn="ctr"/>
          <a:r>
            <a:rPr lang="nb-NO" sz="1100" baseline="0">
              <a:solidFill>
                <a:schemeClr val="tx1"/>
              </a:solidFill>
            </a:rPr>
            <a:t>PESTEL</a:t>
          </a:r>
        </a:p>
        <a:p>
          <a:pPr algn="ctr"/>
          <a:r>
            <a:rPr lang="nb-NO" sz="1100" baseline="0">
              <a:solidFill>
                <a:schemeClr val="tx1"/>
              </a:solidFill>
            </a:rPr>
            <a:t>SWOT</a:t>
          </a:r>
        </a:p>
        <a:p>
          <a:pPr algn="ctr"/>
          <a:endParaRPr lang="nb-NO" sz="1100" baseline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app.norges-bank.no/query/" TargetMode="External"/><Relationship Id="rId1" Type="http://schemas.openxmlformats.org/officeDocument/2006/relationships/hyperlink" Target="https://www.regjeringen.no/no/tema/okonomi-og-budsjett/skatter-og-avgifter/skattesatser-2023/id2929581/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3711-0DA7-4073-BD7B-047593D5EF2C}">
  <dimension ref="A1:BR69"/>
  <sheetViews>
    <sheetView showGridLines="0" topLeftCell="Q1" zoomScale="59" zoomScaleNormal="72" workbookViewId="0">
      <selection activeCell="U41" sqref="U41"/>
    </sheetView>
  </sheetViews>
  <sheetFormatPr defaultColWidth="8.77734375" defaultRowHeight="14.4" x14ac:dyDescent="0.3"/>
  <cols>
    <col min="1" max="1" width="35.33203125" customWidth="1"/>
    <col min="2" max="2" width="12.77734375" customWidth="1"/>
    <col min="3" max="3" width="14" style="3" customWidth="1"/>
    <col min="4" max="4" width="12.109375" style="3" customWidth="1"/>
    <col min="5" max="5" width="12.77734375" style="3" customWidth="1"/>
    <col min="6" max="6" width="12.109375" style="3" customWidth="1"/>
    <col min="7" max="7" width="12.77734375" style="3" customWidth="1"/>
    <col min="8" max="8" width="12.77734375" style="3" bestFit="1" customWidth="1"/>
    <col min="10" max="10" width="54.44140625" bestFit="1" customWidth="1"/>
    <col min="11" max="11" width="19.109375" bestFit="1" customWidth="1"/>
    <col min="12" max="12" width="13.109375" customWidth="1"/>
    <col min="13" max="15" width="11.33203125" bestFit="1" customWidth="1"/>
    <col min="16" max="16" width="14.109375" customWidth="1"/>
    <col min="17" max="17" width="14.44140625" customWidth="1"/>
    <col min="18" max="18" width="13.33203125" customWidth="1"/>
    <col min="19" max="19" width="13.109375" customWidth="1"/>
    <col min="20" max="20" width="13.44140625" customWidth="1"/>
    <col min="21" max="21" width="14.109375" customWidth="1"/>
    <col min="22" max="22" width="17.6640625" customWidth="1"/>
    <col min="23" max="23" width="6" bestFit="1" customWidth="1"/>
    <col min="24" max="24" width="19.44140625" bestFit="1" customWidth="1"/>
    <col min="25" max="25" width="12" customWidth="1"/>
    <col min="26" max="26" width="11.109375" customWidth="1"/>
    <col min="27" max="27" width="9.6640625" bestFit="1" customWidth="1"/>
    <col min="28" max="28" width="11.44140625" customWidth="1"/>
    <col min="29" max="29" width="12" customWidth="1"/>
    <col min="30" max="30" width="11" bestFit="1" customWidth="1"/>
    <col min="31" max="31" width="13.109375" bestFit="1" customWidth="1"/>
    <col min="32" max="32" width="13.6640625" customWidth="1"/>
    <col min="33" max="33" width="11.109375" customWidth="1"/>
    <col min="34" max="34" width="12.44140625" customWidth="1"/>
    <col min="35" max="35" width="13.109375" bestFit="1" customWidth="1"/>
    <col min="36" max="36" width="9.6640625" bestFit="1" customWidth="1"/>
    <col min="37" max="38" width="13.77734375" bestFit="1" customWidth="1"/>
    <col min="41" max="41" width="45.77734375" bestFit="1" customWidth="1"/>
    <col min="42" max="42" width="14.44140625" bestFit="1" customWidth="1"/>
    <col min="43" max="43" width="11.44140625" customWidth="1"/>
    <col min="44" max="47" width="10.6640625" bestFit="1" customWidth="1"/>
    <col min="48" max="48" width="11.33203125" customWidth="1"/>
    <col min="49" max="49" width="11.77734375" customWidth="1"/>
    <col min="50" max="51" width="11.33203125" bestFit="1" customWidth="1"/>
    <col min="56" max="56" width="27.77734375" bestFit="1" customWidth="1"/>
    <col min="57" max="61" width="13.77734375" bestFit="1" customWidth="1"/>
    <col min="62" max="62" width="12" customWidth="1"/>
    <col min="64" max="64" width="30.44140625" customWidth="1"/>
    <col min="65" max="70" width="12.33203125" bestFit="1" customWidth="1"/>
  </cols>
  <sheetData>
    <row r="1" spans="1:70" ht="15" thickBot="1" x14ac:dyDescent="0.35">
      <c r="A1" s="369" t="s">
        <v>78</v>
      </c>
      <c r="B1" s="369"/>
      <c r="C1" s="369"/>
      <c r="D1" s="369"/>
      <c r="E1" s="369"/>
      <c r="F1" s="49"/>
      <c r="G1" s="49"/>
      <c r="H1" s="49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O1" s="26"/>
      <c r="AP1" s="26"/>
      <c r="AQ1" s="26"/>
      <c r="AR1" s="26"/>
      <c r="AS1" s="26"/>
      <c r="AT1" s="26"/>
      <c r="AU1" s="26"/>
      <c r="AV1" s="26"/>
      <c r="AW1" s="26"/>
      <c r="BD1" t="s">
        <v>377</v>
      </c>
      <c r="BL1" t="s">
        <v>402</v>
      </c>
    </row>
    <row r="2" spans="1:70" ht="15" thickBot="1" x14ac:dyDescent="0.35">
      <c r="A2" s="26" t="s">
        <v>2</v>
      </c>
      <c r="B2" s="26"/>
      <c r="C2" s="49"/>
      <c r="D2" s="49"/>
      <c r="E2" s="51">
        <v>-1642</v>
      </c>
      <c r="F2" s="51">
        <v>-716807</v>
      </c>
      <c r="G2" s="51">
        <v>-1479023</v>
      </c>
      <c r="H2" s="49"/>
      <c r="I2" s="26"/>
      <c r="K2" s="26"/>
      <c r="L2" s="26"/>
      <c r="M2" s="26"/>
      <c r="N2" s="26"/>
      <c r="O2" s="26"/>
      <c r="P2" s="26"/>
      <c r="Q2" s="81">
        <f>(Q7-P7)/P7</f>
        <v>0.21033631658033963</v>
      </c>
      <c r="R2" s="81">
        <f t="shared" ref="R2:S2" si="0">(R7-Q7)/Q7</f>
        <v>0.46697966205864871</v>
      </c>
      <c r="S2" s="81">
        <f t="shared" si="0"/>
        <v>4.1243876332111552E-2</v>
      </c>
      <c r="T2" s="81">
        <f>(T7-S7)/S7</f>
        <v>5.3979945814366997E-3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O2" s="33"/>
      <c r="AP2" s="33">
        <v>2016</v>
      </c>
      <c r="AQ2" s="33">
        <v>2017</v>
      </c>
      <c r="AR2" s="33">
        <v>2018</v>
      </c>
      <c r="AS2" s="33">
        <v>2019</v>
      </c>
      <c r="AT2" s="33">
        <v>2020</v>
      </c>
      <c r="AU2" s="33">
        <v>2021</v>
      </c>
      <c r="AV2" s="33">
        <v>2022</v>
      </c>
      <c r="AW2" s="33">
        <v>2023</v>
      </c>
      <c r="AX2" s="33">
        <v>2024</v>
      </c>
      <c r="AY2" s="33">
        <v>2025</v>
      </c>
      <c r="BD2" s="237"/>
      <c r="BE2" s="238">
        <f t="shared" ref="BE2:BJ3" si="1">BE14</f>
        <v>2016</v>
      </c>
      <c r="BF2" s="238">
        <f t="shared" si="1"/>
        <v>2017</v>
      </c>
      <c r="BG2" s="238">
        <f t="shared" si="1"/>
        <v>2018</v>
      </c>
      <c r="BH2" s="238">
        <f t="shared" si="1"/>
        <v>2019</v>
      </c>
      <c r="BI2" s="238">
        <f t="shared" si="1"/>
        <v>2020</v>
      </c>
      <c r="BJ2" s="276">
        <f t="shared" si="1"/>
        <v>2021</v>
      </c>
      <c r="BL2" s="237"/>
      <c r="BM2" s="238">
        <f>BM9</f>
        <v>2016</v>
      </c>
      <c r="BN2" s="238">
        <f t="shared" ref="BN2:BR2" si="2">BN9</f>
        <v>2017</v>
      </c>
      <c r="BO2" s="238">
        <f t="shared" si="2"/>
        <v>2018</v>
      </c>
      <c r="BP2" s="238">
        <f t="shared" si="2"/>
        <v>2019</v>
      </c>
      <c r="BQ2" s="238">
        <f t="shared" si="2"/>
        <v>2020</v>
      </c>
      <c r="BR2" s="276">
        <f t="shared" si="2"/>
        <v>2021</v>
      </c>
    </row>
    <row r="3" spans="1:70" x14ac:dyDescent="0.3">
      <c r="A3" s="50"/>
      <c r="B3" s="50"/>
      <c r="C3" s="50">
        <v>2016</v>
      </c>
      <c r="D3" s="50">
        <v>2017</v>
      </c>
      <c r="E3" s="50">
        <v>2018</v>
      </c>
      <c r="F3" s="50">
        <v>2019</v>
      </c>
      <c r="G3" s="50">
        <v>2020</v>
      </c>
      <c r="H3" s="50">
        <v>2021</v>
      </c>
      <c r="I3" s="26"/>
      <c r="J3" s="184" t="s">
        <v>507</v>
      </c>
      <c r="K3" s="370"/>
      <c r="L3" s="370"/>
      <c r="M3" s="370"/>
      <c r="N3" s="370"/>
      <c r="O3" s="370"/>
      <c r="P3" s="371"/>
      <c r="Q3" s="370" t="s">
        <v>179</v>
      </c>
      <c r="R3" s="370"/>
      <c r="S3" s="370"/>
      <c r="T3" s="370"/>
      <c r="U3" s="26"/>
      <c r="V3" s="26"/>
      <c r="X3" s="26"/>
      <c r="Y3" s="26">
        <v>2016</v>
      </c>
      <c r="Z3" s="26">
        <v>2017</v>
      </c>
      <c r="AA3" s="26">
        <v>2018</v>
      </c>
      <c r="AB3" s="26">
        <v>2019</v>
      </c>
      <c r="AC3" s="26">
        <v>2020</v>
      </c>
      <c r="AD3" s="26">
        <v>2021</v>
      </c>
      <c r="AE3" s="78" t="s">
        <v>353</v>
      </c>
      <c r="AF3" s="78" t="s">
        <v>354</v>
      </c>
      <c r="AG3" s="78" t="s">
        <v>355</v>
      </c>
      <c r="AH3" s="78" t="s">
        <v>356</v>
      </c>
      <c r="AM3" s="26"/>
      <c r="AO3" s="37" t="s">
        <v>225</v>
      </c>
      <c r="AP3" s="38">
        <f t="shared" ref="AP3:AU3" si="3">K7</f>
        <v>9029814</v>
      </c>
      <c r="AQ3" s="38">
        <f t="shared" si="3"/>
        <v>10817238</v>
      </c>
      <c r="AR3" s="38">
        <f t="shared" si="3"/>
        <v>11342554</v>
      </c>
      <c r="AS3" s="38">
        <f t="shared" si="3"/>
        <v>12237589</v>
      </c>
      <c r="AT3" s="38">
        <f t="shared" si="3"/>
        <v>12912341</v>
      </c>
      <c r="AU3" s="38">
        <f t="shared" si="3"/>
        <v>15043945</v>
      </c>
      <c r="AV3" s="38">
        <f t="shared" ref="AV3" si="4">Q7</f>
        <v>18208232.978137217</v>
      </c>
      <c r="AW3" s="38">
        <f t="shared" ref="AW3" si="5">R7</f>
        <v>26711107.460952878</v>
      </c>
      <c r="AX3" s="38">
        <f t="shared" ref="AX3" si="6">S7</f>
        <v>27812777.073766161</v>
      </c>
      <c r="AY3" s="38">
        <f t="shared" ref="AY3" si="7">T7</f>
        <v>27962910.293705057</v>
      </c>
      <c r="BD3" s="239" t="s">
        <v>374</v>
      </c>
      <c r="BE3" s="16">
        <f t="shared" si="1"/>
        <v>9029814</v>
      </c>
      <c r="BF3" s="16">
        <f t="shared" si="1"/>
        <v>10817238</v>
      </c>
      <c r="BG3" s="16">
        <f t="shared" si="1"/>
        <v>11342554</v>
      </c>
      <c r="BH3" s="16">
        <f t="shared" si="1"/>
        <v>12237589</v>
      </c>
      <c r="BI3" s="16">
        <f t="shared" si="1"/>
        <v>12912341</v>
      </c>
      <c r="BJ3" s="246">
        <f t="shared" si="1"/>
        <v>15043945</v>
      </c>
      <c r="BL3" s="239" t="str">
        <f>BL17</f>
        <v>Driftsinntekter</v>
      </c>
      <c r="BM3" s="16">
        <f>BM17</f>
        <v>9029814</v>
      </c>
      <c r="BN3" s="16">
        <f t="shared" ref="BN3:BR3" si="8">BN17</f>
        <v>10817238</v>
      </c>
      <c r="BO3" s="16">
        <f t="shared" si="8"/>
        <v>11342554</v>
      </c>
      <c r="BP3" s="16">
        <f t="shared" si="8"/>
        <v>12237589</v>
      </c>
      <c r="BQ3" s="16">
        <f t="shared" si="8"/>
        <v>12912341</v>
      </c>
      <c r="BR3" s="246">
        <f t="shared" si="8"/>
        <v>15043945</v>
      </c>
    </row>
    <row r="4" spans="1:70" ht="15" thickBot="1" x14ac:dyDescent="0.35">
      <c r="A4" s="26" t="s">
        <v>69</v>
      </c>
      <c r="B4" s="26"/>
      <c r="C4" s="51">
        <v>8963239</v>
      </c>
      <c r="D4" s="51">
        <v>10755452</v>
      </c>
      <c r="E4" s="51">
        <v>11301338</v>
      </c>
      <c r="F4" s="51">
        <v>12202197</v>
      </c>
      <c r="G4" s="51">
        <v>12856778</v>
      </c>
      <c r="H4" s="51">
        <v>14971988</v>
      </c>
      <c r="I4" s="26"/>
      <c r="J4" s="192" t="s">
        <v>2</v>
      </c>
      <c r="K4" s="28">
        <v>2016</v>
      </c>
      <c r="L4" s="28">
        <v>2017</v>
      </c>
      <c r="M4" s="28">
        <v>2018</v>
      </c>
      <c r="N4" s="28">
        <v>2019</v>
      </c>
      <c r="O4" s="28">
        <v>2020</v>
      </c>
      <c r="P4" s="351">
        <v>2021</v>
      </c>
      <c r="Q4" s="243" t="s">
        <v>353</v>
      </c>
      <c r="R4" s="243" t="s">
        <v>354</v>
      </c>
      <c r="S4" s="243" t="s">
        <v>355</v>
      </c>
      <c r="T4" s="243" t="s">
        <v>356</v>
      </c>
      <c r="U4" s="26"/>
      <c r="V4" s="182"/>
      <c r="X4" s="52" t="s">
        <v>227</v>
      </c>
      <c r="Y4" s="53">
        <f>'Balance Sheet'!AE12</f>
        <v>4553018</v>
      </c>
      <c r="Z4" s="53">
        <f>'Balance Sheet'!AF12</f>
        <v>5167523</v>
      </c>
      <c r="AA4" s="53">
        <f>'Balance Sheet'!AG12</f>
        <v>5454010</v>
      </c>
      <c r="AB4" s="53">
        <f>'Balance Sheet'!AH12</f>
        <v>7923996</v>
      </c>
      <c r="AC4" s="53">
        <f>'Balance Sheet'!AI12</f>
        <v>11400917</v>
      </c>
      <c r="AD4" s="53">
        <f>'Balance Sheet'!AJ12</f>
        <v>14281830</v>
      </c>
      <c r="AE4" s="53">
        <f>'Balance Sheet'!AK12</f>
        <v>14509983.652401142</v>
      </c>
      <c r="AF4" s="53">
        <f>'Balance Sheet'!AL12</f>
        <v>15364746.980813598</v>
      </c>
      <c r="AG4" s="53">
        <f>'Balance Sheet'!AM12</f>
        <v>16302638.769797156</v>
      </c>
      <c r="AH4" s="53">
        <f>'Balance Sheet'!AN12</f>
        <v>17331743.527340423</v>
      </c>
      <c r="AM4" s="26"/>
      <c r="AO4" s="39" t="s">
        <v>115</v>
      </c>
      <c r="AP4" s="40">
        <f t="shared" ref="AP4:AT4" si="9">-K8/AP$3</f>
        <v>0.48690803597947863</v>
      </c>
      <c r="AQ4" s="40">
        <f t="shared" si="9"/>
        <v>0.43656929800379729</v>
      </c>
      <c r="AR4" s="40">
        <f t="shared" si="9"/>
        <v>0.40427323511089303</v>
      </c>
      <c r="AS4" s="40">
        <f t="shared" si="9"/>
        <v>0.47150030941552296</v>
      </c>
      <c r="AT4" s="40">
        <f t="shared" si="9"/>
        <v>0.45464854126761367</v>
      </c>
      <c r="AU4" s="40">
        <f>-P8/AU$3</f>
        <v>0.48710447957633451</v>
      </c>
      <c r="AV4" s="40">
        <f t="shared" ref="AV4" si="10">-Q8/AV$3</f>
        <v>0.4568339832256067</v>
      </c>
      <c r="AW4" s="40">
        <f t="shared" ref="AW4" si="11">-R8/AW$3</f>
        <v>0.4568339832256067</v>
      </c>
      <c r="AX4" s="40">
        <f t="shared" ref="AX4" si="12">-S8/AX$3</f>
        <v>0.4568339832256067</v>
      </c>
      <c r="AY4" s="40">
        <f t="shared" ref="AY4" si="13">-T8/AY$3</f>
        <v>0.4568339832256067</v>
      </c>
      <c r="BD4" s="239" t="s">
        <v>377</v>
      </c>
      <c r="BE4" s="10">
        <f>BE3*AP4</f>
        <v>4396689</v>
      </c>
      <c r="BF4" s="10">
        <f t="shared" ref="BF4:BJ4" si="14">BF3*AQ4</f>
        <v>4722474</v>
      </c>
      <c r="BG4" s="10">
        <f t="shared" si="14"/>
        <v>4585491</v>
      </c>
      <c r="BH4" s="10">
        <f t="shared" si="14"/>
        <v>5770027</v>
      </c>
      <c r="BI4" s="10">
        <f t="shared" si="14"/>
        <v>5870577</v>
      </c>
      <c r="BJ4" s="272">
        <f t="shared" si="14"/>
        <v>7327973</v>
      </c>
      <c r="BL4" s="239" t="s">
        <v>402</v>
      </c>
      <c r="BM4" s="10">
        <f>BM11</f>
        <v>358020</v>
      </c>
      <c r="BN4" s="10">
        <f t="shared" ref="BN4:BR4" si="15">BN11</f>
        <v>414685.99999999994</v>
      </c>
      <c r="BO4" s="10">
        <f t="shared" si="15"/>
        <v>487778</v>
      </c>
      <c r="BP4" s="10">
        <f t="shared" si="15"/>
        <v>716807</v>
      </c>
      <c r="BQ4" s="10">
        <f t="shared" si="15"/>
        <v>780972</v>
      </c>
      <c r="BR4" s="272">
        <f t="shared" si="15"/>
        <v>803136</v>
      </c>
    </row>
    <row r="5" spans="1:70" x14ac:dyDescent="0.3">
      <c r="A5" s="26" t="s">
        <v>106</v>
      </c>
      <c r="B5" s="26"/>
      <c r="C5" s="51">
        <v>66575</v>
      </c>
      <c r="D5" s="51">
        <v>61786</v>
      </c>
      <c r="E5" s="51">
        <v>41216</v>
      </c>
      <c r="F5" s="51">
        <v>35392</v>
      </c>
      <c r="G5" s="51">
        <v>55563</v>
      </c>
      <c r="H5" s="51">
        <v>71957</v>
      </c>
      <c r="I5" s="26"/>
      <c r="J5" s="192" t="str">
        <f>A4</f>
        <v>Revenues from contracts with customers</v>
      </c>
      <c r="K5" s="51">
        <f t="shared" ref="K5:P6" si="16">C4</f>
        <v>8963239</v>
      </c>
      <c r="L5" s="51">
        <f t="shared" si="16"/>
        <v>10755452</v>
      </c>
      <c r="M5" s="51">
        <f t="shared" si="16"/>
        <v>11301338</v>
      </c>
      <c r="N5" s="51">
        <f t="shared" si="16"/>
        <v>12202197</v>
      </c>
      <c r="O5" s="51">
        <f t="shared" si="16"/>
        <v>12856778</v>
      </c>
      <c r="P5" s="262">
        <f t="shared" si="16"/>
        <v>14971988</v>
      </c>
      <c r="Q5" s="231"/>
      <c r="R5" s="231"/>
      <c r="S5" s="231"/>
      <c r="T5" s="231"/>
      <c r="U5" s="26"/>
      <c r="V5" s="26"/>
      <c r="X5" s="26"/>
      <c r="Y5" s="26"/>
      <c r="Z5" s="26">
        <f>(Z4-Y4)/Y4</f>
        <v>0.1349665211075379</v>
      </c>
      <c r="AA5" s="26">
        <f t="shared" ref="AA5:AD5" si="17">(AA4-Z4)/Z4</f>
        <v>5.5439908056529208E-2</v>
      </c>
      <c r="AB5" s="26">
        <f t="shared" si="17"/>
        <v>0.4528752239178146</v>
      </c>
      <c r="AC5" s="26">
        <f t="shared" si="17"/>
        <v>0.43878379040070187</v>
      </c>
      <c r="AD5" s="26">
        <f t="shared" si="17"/>
        <v>0.25269134052988895</v>
      </c>
      <c r="AE5" s="26">
        <f t="shared" ref="AE5" si="18">(AE4-AD4)/AD4</f>
        <v>1.597509929757894E-2</v>
      </c>
      <c r="AF5" s="26">
        <f t="shared" ref="AF5" si="19">(AF4-AE4)/AE4</f>
        <v>5.8908634833024671E-2</v>
      </c>
      <c r="AG5" s="26">
        <f t="shared" ref="AG5" si="20">(AG4-AF4)/AF4</f>
        <v>6.1041798485502549E-2</v>
      </c>
      <c r="AH5" s="26">
        <f t="shared" ref="AH5" si="21">(AH4-AG4)/AG4</f>
        <v>6.3125042029994777E-2</v>
      </c>
      <c r="AM5" s="26"/>
      <c r="AO5" s="37" t="s">
        <v>61</v>
      </c>
      <c r="AP5" s="41">
        <f t="shared" ref="AP5:AU5" si="22">K9/AP$3</f>
        <v>0.51309196402052137</v>
      </c>
      <c r="AQ5" s="41">
        <f t="shared" si="22"/>
        <v>0.56343070199620271</v>
      </c>
      <c r="AR5" s="41">
        <f t="shared" si="22"/>
        <v>0.59572676488910703</v>
      </c>
      <c r="AS5" s="41">
        <f t="shared" si="22"/>
        <v>0.5284996905844771</v>
      </c>
      <c r="AT5" s="41">
        <f t="shared" si="22"/>
        <v>0.54535145873238633</v>
      </c>
      <c r="AU5" s="41">
        <f t="shared" si="22"/>
        <v>0.51289552042366549</v>
      </c>
      <c r="AV5" s="41">
        <f t="shared" ref="AV5" si="23">Q9/AV$3</f>
        <v>0.54316601677439325</v>
      </c>
      <c r="AW5" s="41">
        <f t="shared" ref="AW5" si="24">R9/AW$3</f>
        <v>0.54316601677439325</v>
      </c>
      <c r="AX5" s="41">
        <f t="shared" ref="AX5" si="25">S9/AX$3</f>
        <v>0.54316601677439336</v>
      </c>
      <c r="AY5" s="41">
        <f t="shared" ref="AY5" si="26">T9/AY$3</f>
        <v>0.54316601677439325</v>
      </c>
      <c r="BD5" s="239" t="s">
        <v>375</v>
      </c>
      <c r="BE5" s="11">
        <f>BE4/BE3</f>
        <v>0.48690803597947863</v>
      </c>
      <c r="BF5" s="11">
        <f t="shared" ref="BF5" si="27">BF4/BF3</f>
        <v>0.43656929800379729</v>
      </c>
      <c r="BG5" s="11">
        <f t="shared" ref="BG5" si="28">BG4/BG3</f>
        <v>0.40427323511089303</v>
      </c>
      <c r="BH5" s="11">
        <f t="shared" ref="BH5" si="29">BH4/BH3</f>
        <v>0.47150030941552296</v>
      </c>
      <c r="BI5" s="11">
        <f t="shared" ref="BI5" si="30">BI4/BI3</f>
        <v>0.45464854126761367</v>
      </c>
      <c r="BJ5" s="275">
        <f t="shared" ref="BJ5" si="31">BJ4/BJ3</f>
        <v>0.48710447957633451</v>
      </c>
      <c r="BL5" s="239" t="s">
        <v>375</v>
      </c>
      <c r="BM5" s="11">
        <f t="shared" ref="BM5" si="32">BM4/BM3</f>
        <v>3.9648657214866219E-2</v>
      </c>
      <c r="BN5" s="11">
        <f t="shared" ref="BN5" si="33">BN4/BN3</f>
        <v>3.8335663872792664E-2</v>
      </c>
      <c r="BO5" s="11">
        <f t="shared" ref="BO5" si="34">BO4/BO3</f>
        <v>4.3004247544247969E-2</v>
      </c>
      <c r="BP5" s="11">
        <f t="shared" ref="BP5" si="35">BP4/BP3</f>
        <v>5.8574201176391852E-2</v>
      </c>
      <c r="BQ5" s="11">
        <f t="shared" ref="BQ5" si="36">BQ4/BQ3</f>
        <v>6.048260342566851E-2</v>
      </c>
      <c r="BR5" s="275">
        <f t="shared" ref="BR5" si="37">BR4/BR3</f>
        <v>5.3385996824636094E-2</v>
      </c>
    </row>
    <row r="6" spans="1:70" ht="15" thickBot="1" x14ac:dyDescent="0.35">
      <c r="A6" s="35" t="s">
        <v>70</v>
      </c>
      <c r="B6" s="35"/>
      <c r="C6" s="51">
        <f>SUM(C4:C5)</f>
        <v>9029814</v>
      </c>
      <c r="D6" s="51">
        <f t="shared" ref="D6:G6" si="38">SUM(D4:D5)</f>
        <v>10817238</v>
      </c>
      <c r="E6" s="51">
        <f t="shared" si="38"/>
        <v>11342554</v>
      </c>
      <c r="F6" s="51">
        <f t="shared" si="38"/>
        <v>12237589</v>
      </c>
      <c r="G6" s="51">
        <f t="shared" si="38"/>
        <v>12912341</v>
      </c>
      <c r="H6" s="51">
        <f>SUM(H4:H5)</f>
        <v>15043945</v>
      </c>
      <c r="I6" s="26"/>
      <c r="J6" s="192" t="str">
        <f>A5</f>
        <v>Other operating revenues</v>
      </c>
      <c r="K6" s="51">
        <f t="shared" si="16"/>
        <v>66575</v>
      </c>
      <c r="L6" s="51">
        <f t="shared" si="16"/>
        <v>61786</v>
      </c>
      <c r="M6" s="51">
        <f t="shared" si="16"/>
        <v>41216</v>
      </c>
      <c r="N6" s="51">
        <f t="shared" si="16"/>
        <v>35392</v>
      </c>
      <c r="O6" s="51">
        <f t="shared" si="16"/>
        <v>55563</v>
      </c>
      <c r="P6" s="262">
        <f t="shared" si="16"/>
        <v>71957</v>
      </c>
      <c r="Q6" s="231"/>
      <c r="R6" s="231"/>
      <c r="S6" s="231"/>
      <c r="T6" s="231"/>
      <c r="U6" s="26"/>
      <c r="V6" s="26"/>
      <c r="X6" s="60" t="s">
        <v>37</v>
      </c>
      <c r="Y6" s="53">
        <f>'Balance Sheet'!AE20</f>
        <v>4307875</v>
      </c>
      <c r="Z6" s="53">
        <f>'Balance Sheet'!AF20</f>
        <v>3046412</v>
      </c>
      <c r="AA6" s="53">
        <f>'Balance Sheet'!AG20</f>
        <v>4498959</v>
      </c>
      <c r="AB6" s="53">
        <f>'Balance Sheet'!AH20</f>
        <v>5146871</v>
      </c>
      <c r="AC6" s="53">
        <f>'Balance Sheet'!AI20</f>
        <v>4989730</v>
      </c>
      <c r="AD6" s="53">
        <f>'Balance Sheet'!AJ20</f>
        <v>6218093</v>
      </c>
      <c r="AE6" s="53">
        <f>'Balance Sheet'!AK20</f>
        <v>7209491.8532449761</v>
      </c>
      <c r="AF6" s="53">
        <f>'Balance Sheet'!AL20</f>
        <v>10576177.922487896</v>
      </c>
      <c r="AG6" s="53">
        <f>'Balance Sheet'!AM20</f>
        <v>11012380.496789396</v>
      </c>
      <c r="AH6" s="53">
        <f>'Balance Sheet'!AN20</f>
        <v>11071825.267039785</v>
      </c>
      <c r="AM6" s="26"/>
      <c r="AO6" s="39" t="s">
        <v>222</v>
      </c>
      <c r="AP6" s="40">
        <f t="shared" ref="AP6:AY8" si="39">-K10/AP$3</f>
        <v>9.5409938676477721E-2</v>
      </c>
      <c r="AQ6" s="40">
        <f t="shared" si="39"/>
        <v>8.58906866983975E-2</v>
      </c>
      <c r="AR6" s="40">
        <f t="shared" si="39"/>
        <v>9.1728723530873205E-2</v>
      </c>
      <c r="AS6" s="40">
        <f t="shared" si="39"/>
        <v>9.8262329287247679E-2</v>
      </c>
      <c r="AT6" s="40">
        <f t="shared" si="39"/>
        <v>0.10222476311615376</v>
      </c>
      <c r="AU6" s="40">
        <f t="shared" si="39"/>
        <v>0.10234589397927206</v>
      </c>
      <c r="AV6" s="40">
        <f t="shared" si="39"/>
        <v>9.597705588140365E-2</v>
      </c>
      <c r="AW6" s="40">
        <f t="shared" si="39"/>
        <v>9.597705588140365E-2</v>
      </c>
      <c r="AX6" s="40">
        <f t="shared" si="39"/>
        <v>9.5977055881403664E-2</v>
      </c>
      <c r="AY6" s="40">
        <f t="shared" si="39"/>
        <v>9.597705588140365E-2</v>
      </c>
      <c r="BD6" s="239" t="s">
        <v>376</v>
      </c>
      <c r="BE6" s="13">
        <f>AVERAGE(BE5:BJ5)</f>
        <v>0.4568339832256067</v>
      </c>
      <c r="BF6" s="25"/>
      <c r="BG6" s="25"/>
      <c r="BH6" s="25"/>
      <c r="BI6" s="25"/>
      <c r="BJ6" s="187"/>
      <c r="BL6" s="239" t="s">
        <v>376</v>
      </c>
      <c r="BM6" s="13">
        <f>AVERAGE(BM5:BR5)</f>
        <v>4.890522834310055E-2</v>
      </c>
      <c r="BN6" s="25"/>
      <c r="BO6" s="25"/>
      <c r="BP6" s="25"/>
      <c r="BQ6" s="25"/>
      <c r="BR6" s="187"/>
    </row>
    <row r="7" spans="1:70" ht="15" thickBot="1" x14ac:dyDescent="0.35">
      <c r="A7" s="26"/>
      <c r="B7" s="26"/>
      <c r="C7" s="51"/>
      <c r="D7" s="51"/>
      <c r="E7" s="51"/>
      <c r="F7" s="51"/>
      <c r="G7" s="51"/>
      <c r="H7" s="51"/>
      <c r="I7" s="26"/>
      <c r="J7" s="203" t="s">
        <v>8</v>
      </c>
      <c r="K7" s="71">
        <f>SUBTOTAL(9,K5:K6)</f>
        <v>9029814</v>
      </c>
      <c r="L7" s="71">
        <f t="shared" ref="L7:P7" si="40">SUBTOTAL(9,L5:L6)</f>
        <v>10817238</v>
      </c>
      <c r="M7" s="71">
        <f t="shared" si="40"/>
        <v>11342554</v>
      </c>
      <c r="N7" s="71">
        <f t="shared" si="40"/>
        <v>12237589</v>
      </c>
      <c r="O7" s="71">
        <f t="shared" si="40"/>
        <v>12912341</v>
      </c>
      <c r="P7" s="263">
        <f t="shared" si="40"/>
        <v>15043945</v>
      </c>
      <c r="Q7" s="71">
        <f>Q40</f>
        <v>18208232.978137217</v>
      </c>
      <c r="R7" s="71">
        <f>R40</f>
        <v>26711107.460952878</v>
      </c>
      <c r="S7" s="71">
        <f>S40</f>
        <v>27812777.073766161</v>
      </c>
      <c r="T7" s="71">
        <f>T40</f>
        <v>27962910.293705057</v>
      </c>
      <c r="U7" s="26"/>
      <c r="V7" s="26"/>
      <c r="X7" s="26"/>
      <c r="Y7" s="26"/>
      <c r="Z7" s="26">
        <f>(Z6-Y6)/Y6</f>
        <v>-0.29282720598903172</v>
      </c>
      <c r="AA7" s="26">
        <f t="shared" ref="AA7" si="41">(AA6-Z6)/Z6</f>
        <v>0.4768058292837607</v>
      </c>
      <c r="AB7" s="26">
        <f t="shared" ref="AB7" si="42">(AB6-AA6)/AA6</f>
        <v>0.14401375962750493</v>
      </c>
      <c r="AC7" s="26">
        <f t="shared" ref="AC7" si="43">(AC6-AB6)/AB6</f>
        <v>-3.0531365561717011E-2</v>
      </c>
      <c r="AD7" s="26">
        <f t="shared" ref="AD7" si="44">(AD6-AC6)/AC6</f>
        <v>0.24617825012575831</v>
      </c>
      <c r="AE7" s="26">
        <f t="shared" ref="AE7" si="45">(AE6-AD6)/AD6</f>
        <v>0.15943776544432128</v>
      </c>
      <c r="AF7" s="26">
        <f t="shared" ref="AF7" si="46">(AF6-AE6)/AE6</f>
        <v>0.46697966205864871</v>
      </c>
      <c r="AG7" s="26">
        <f t="shared" ref="AG7" si="47">(AG6-AF6)/AF6</f>
        <v>4.1243876332111608E-2</v>
      </c>
      <c r="AH7" s="26">
        <f t="shared" ref="AH7" si="48">(AH6-AG6)/AG6</f>
        <v>5.3979945814367908E-3</v>
      </c>
      <c r="AM7" s="26"/>
      <c r="AO7" s="39" t="s">
        <v>223</v>
      </c>
      <c r="AP7" s="40">
        <f t="shared" si="39"/>
        <v>0.15258287712238591</v>
      </c>
      <c r="AQ7" s="40">
        <f t="shared" si="39"/>
        <v>0.14650921057667401</v>
      </c>
      <c r="AR7" s="40">
        <f t="shared" si="39"/>
        <v>0.15587635730012836</v>
      </c>
      <c r="AS7" s="40">
        <f t="shared" si="39"/>
        <v>0.12085901888027127</v>
      </c>
      <c r="AT7" s="40">
        <f t="shared" si="39"/>
        <v>0.14731720607440588</v>
      </c>
      <c r="AU7" s="40">
        <f t="shared" si="39"/>
        <v>0.162364991363635</v>
      </c>
      <c r="AV7" s="40">
        <f t="shared" si="39"/>
        <v>0.14758494355291676</v>
      </c>
      <c r="AW7" s="40">
        <f t="shared" si="39"/>
        <v>0.14758494355291676</v>
      </c>
      <c r="AX7" s="40">
        <f t="shared" si="39"/>
        <v>0.14758494355291676</v>
      </c>
      <c r="AY7" s="40">
        <f t="shared" si="39"/>
        <v>0.14758494355291676</v>
      </c>
      <c r="BD7" s="251" t="s">
        <v>368</v>
      </c>
      <c r="BE7" s="252">
        <f>CORREL(BE3:BJ3,BE4:BJ4)</f>
        <v>0.94681600985125258</v>
      </c>
      <c r="BF7" s="171"/>
      <c r="BG7" s="171"/>
      <c r="BH7" s="171"/>
      <c r="BI7" s="171"/>
      <c r="BJ7" s="240"/>
      <c r="BL7" s="251" t="s">
        <v>368</v>
      </c>
      <c r="BM7" s="252">
        <f>CORREL(BM3:BR3,BM4:BR4)</f>
        <v>0.90928067126441037</v>
      </c>
      <c r="BN7" s="171"/>
      <c r="BO7" s="171"/>
      <c r="BP7" s="171"/>
      <c r="BQ7" s="171"/>
      <c r="BR7" s="240"/>
    </row>
    <row r="8" spans="1:70" ht="15" thickBot="1" x14ac:dyDescent="0.35">
      <c r="A8" s="26" t="s">
        <v>114</v>
      </c>
      <c r="B8" s="26"/>
      <c r="C8" s="51">
        <v>395871</v>
      </c>
      <c r="D8" s="51"/>
      <c r="E8" s="51"/>
      <c r="F8" s="51"/>
      <c r="G8" s="51"/>
      <c r="H8" s="51"/>
      <c r="I8" s="26"/>
      <c r="J8" s="192" t="s">
        <v>115</v>
      </c>
      <c r="K8" s="51">
        <f t="shared" ref="K8:P8" si="49">C9</f>
        <v>-4396689</v>
      </c>
      <c r="L8" s="51">
        <f t="shared" si="49"/>
        <v>-4722474</v>
      </c>
      <c r="M8" s="51">
        <f t="shared" si="49"/>
        <v>-4585491</v>
      </c>
      <c r="N8" s="51">
        <f t="shared" si="49"/>
        <v>-5770027</v>
      </c>
      <c r="O8" s="51">
        <f t="shared" si="49"/>
        <v>-5870577</v>
      </c>
      <c r="P8" s="262">
        <f t="shared" si="49"/>
        <v>-7327973</v>
      </c>
      <c r="Q8" s="51">
        <f>-(Q7*Q58)</f>
        <v>-8318139.5989022767</v>
      </c>
      <c r="R8" s="51">
        <f>-(R7*R58)</f>
        <v>-12202541.617754325</v>
      </c>
      <c r="S8" s="51">
        <f>-(S7*S58)</f>
        <v>-12705821.735174429</v>
      </c>
      <c r="T8" s="51">
        <f>-(T7*T58)</f>
        <v>-12774407.692053601</v>
      </c>
      <c r="U8" s="26"/>
      <c r="V8" s="26"/>
      <c r="X8" s="35" t="s">
        <v>292</v>
      </c>
      <c r="Y8" s="53">
        <f>'Balance Sheet'!AE42</f>
        <v>2180060</v>
      </c>
      <c r="Z8" s="53">
        <f>'Balance Sheet'!AF42</f>
        <v>545807</v>
      </c>
      <c r="AA8" s="53">
        <f>'Balance Sheet'!AG42</f>
        <v>813127</v>
      </c>
      <c r="AB8" s="53">
        <f>'Balance Sheet'!AH42</f>
        <v>3330767</v>
      </c>
      <c r="AC8" s="53">
        <f>'Balance Sheet'!AI42</f>
        <v>5403745</v>
      </c>
      <c r="AD8" s="53">
        <f>'Balance Sheet'!AJ42</f>
        <v>5016747</v>
      </c>
      <c r="AE8" s="53">
        <f>'Balance Sheet'!AK42</f>
        <v>4428623.3076572139</v>
      </c>
      <c r="AF8" s="53">
        <f>'Balance Sheet'!AL42</f>
        <v>5289381.1648021601</v>
      </c>
      <c r="AG8" s="53">
        <f>'Balance Sheet'!AM42</f>
        <v>5569560.4132643379</v>
      </c>
      <c r="AH8" s="53">
        <f>'Balance Sheet'!AN42</f>
        <v>5791516.7772231754</v>
      </c>
      <c r="AM8" s="26"/>
      <c r="AO8" s="28" t="s">
        <v>107</v>
      </c>
      <c r="AP8" s="40">
        <f t="shared" si="39"/>
        <v>0</v>
      </c>
      <c r="AQ8" s="40">
        <f t="shared" si="39"/>
        <v>3.6293922718534991E-4</v>
      </c>
      <c r="AR8" s="40">
        <f t="shared" si="39"/>
        <v>0</v>
      </c>
      <c r="AS8" s="40">
        <f t="shared" si="39"/>
        <v>1.3417675654902285E-4</v>
      </c>
      <c r="AT8" s="40">
        <f t="shared" si="39"/>
        <v>2.4101748861805926E-3</v>
      </c>
      <c r="AU8" s="40">
        <f t="shared" si="39"/>
        <v>2.3624122529030783E-4</v>
      </c>
      <c r="AV8" s="40">
        <f t="shared" si="39"/>
        <v>3.6835900961504722E-4</v>
      </c>
      <c r="AW8" s="40">
        <f t="shared" si="39"/>
        <v>2.5110028389767851E-4</v>
      </c>
      <c r="AX8" s="40">
        <f t="shared" si="39"/>
        <v>2.411541518805422E-4</v>
      </c>
      <c r="AY8" s="40">
        <f t="shared" si="39"/>
        <v>2.3985939218124116E-4</v>
      </c>
    </row>
    <row r="9" spans="1:70" ht="15" thickBot="1" x14ac:dyDescent="0.35">
      <c r="A9" s="26" t="s">
        <v>71</v>
      </c>
      <c r="B9" s="26"/>
      <c r="C9" s="51">
        <v>-4396689</v>
      </c>
      <c r="D9" s="51">
        <v>-4722474</v>
      </c>
      <c r="E9" s="51">
        <v>-4585491</v>
      </c>
      <c r="F9" s="51">
        <v>-5770027</v>
      </c>
      <c r="G9" s="51">
        <v>-5870577</v>
      </c>
      <c r="H9" s="51">
        <v>-7327973</v>
      </c>
      <c r="I9" s="26"/>
      <c r="J9" s="203" t="s">
        <v>61</v>
      </c>
      <c r="K9" s="71">
        <f>SUM(K7:K8)</f>
        <v>4633125</v>
      </c>
      <c r="L9" s="71">
        <f t="shared" ref="L9:S9" si="50">SUM(L7:L8)</f>
        <v>6094764</v>
      </c>
      <c r="M9" s="71">
        <f t="shared" si="50"/>
        <v>6757063</v>
      </c>
      <c r="N9" s="71">
        <f t="shared" si="50"/>
        <v>6467562</v>
      </c>
      <c r="O9" s="71">
        <f t="shared" si="50"/>
        <v>7041764</v>
      </c>
      <c r="P9" s="263">
        <f t="shared" si="50"/>
        <v>7715972</v>
      </c>
      <c r="Q9" s="71">
        <f>SUM(Q7:Q8)</f>
        <v>9890093.3792349398</v>
      </c>
      <c r="R9" s="71">
        <f t="shared" si="50"/>
        <v>14508565.843198553</v>
      </c>
      <c r="S9" s="71">
        <f t="shared" si="50"/>
        <v>15106955.338591732</v>
      </c>
      <c r="T9" s="71">
        <f>SUM(T7:T8)</f>
        <v>15188502.601651456</v>
      </c>
      <c r="U9" s="26"/>
      <c r="V9" s="62"/>
      <c r="X9" s="26"/>
      <c r="Y9" s="26"/>
      <c r="Z9" s="26">
        <f>(Z8-Y8)/Y8</f>
        <v>-0.7496367072465896</v>
      </c>
      <c r="AA9" s="26">
        <f t="shared" ref="AA9" si="51">(AA8-Z8)/Z8</f>
        <v>0.48977019349330442</v>
      </c>
      <c r="AB9" s="26">
        <f t="shared" ref="AB9" si="52">(AB8-AA8)/AA8</f>
        <v>3.0962444980919339</v>
      </c>
      <c r="AC9" s="26">
        <f t="shared" ref="AC9" si="53">(AC8-AB8)/AB8</f>
        <v>0.62237256463751445</v>
      </c>
      <c r="AD9" s="26">
        <f t="shared" ref="AD9" si="54">(AD8-AC8)/AC8</f>
        <v>-7.1616628837963298E-2</v>
      </c>
      <c r="AE9" s="26">
        <f t="shared" ref="AE9" si="55">(AE8-AD8)/AD8</f>
        <v>-0.11723208133533267</v>
      </c>
      <c r="AF9" s="26">
        <f t="shared" ref="AF9" si="56">(AF8-AE8)/AE8</f>
        <v>0.19436240053577639</v>
      </c>
      <c r="AG9" s="26">
        <f t="shared" ref="AG9" si="57">(AG8-AF8)/AF8</f>
        <v>5.2970137664990424E-2</v>
      </c>
      <c r="AH9" s="26">
        <f t="shared" ref="AH9" si="58">(AH8-AG8)/AG8</f>
        <v>3.9851684422029299E-2</v>
      </c>
      <c r="AM9" s="26"/>
      <c r="AO9" s="37" t="s">
        <v>224</v>
      </c>
      <c r="AP9" s="41">
        <f t="shared" ref="AP9:AY12" si="59">K13/AP$3</f>
        <v>0.2650991482216577</v>
      </c>
      <c r="AQ9" s="41">
        <f t="shared" si="59"/>
        <v>0.33066786549394589</v>
      </c>
      <c r="AR9" s="41">
        <f t="shared" si="59"/>
        <v>0.34812168405810545</v>
      </c>
      <c r="AS9" s="41">
        <f t="shared" si="59"/>
        <v>0.30924416566040908</v>
      </c>
      <c r="AT9" s="41">
        <f t="shared" si="59"/>
        <v>0.29339931465564612</v>
      </c>
      <c r="AU9" s="41">
        <f t="shared" si="59"/>
        <v>0.2479483938554681</v>
      </c>
      <c r="AV9" s="41">
        <f t="shared" si="59"/>
        <v>0.29923565833045773</v>
      </c>
      <c r="AW9" s="41">
        <f t="shared" si="59"/>
        <v>0.29935291705617523</v>
      </c>
      <c r="AX9" s="41">
        <f t="shared" si="59"/>
        <v>0.29936286318819227</v>
      </c>
      <c r="AY9" s="41">
        <f t="shared" si="59"/>
        <v>0.29936415794789162</v>
      </c>
      <c r="BD9" s="237"/>
      <c r="BE9" s="241">
        <f>P55</f>
        <v>2021</v>
      </c>
      <c r="BF9" s="241" t="str">
        <f>Q55</f>
        <v>2022e</v>
      </c>
      <c r="BG9" s="241" t="str">
        <f>R55</f>
        <v>2023e</v>
      </c>
      <c r="BH9" s="241" t="str">
        <f>S55</f>
        <v>2024e</v>
      </c>
      <c r="BI9" s="242" t="str">
        <f>T55</f>
        <v>2025e</v>
      </c>
      <c r="BJ9" s="10"/>
      <c r="BL9" s="237"/>
      <c r="BM9" s="238">
        <f t="shared" ref="BM9:BR9" si="60">BE2</f>
        <v>2016</v>
      </c>
      <c r="BN9" s="238">
        <f t="shared" si="60"/>
        <v>2017</v>
      </c>
      <c r="BO9" s="238">
        <f t="shared" si="60"/>
        <v>2018</v>
      </c>
      <c r="BP9" s="238">
        <f t="shared" si="60"/>
        <v>2019</v>
      </c>
      <c r="BQ9" s="238">
        <f t="shared" si="60"/>
        <v>2020</v>
      </c>
      <c r="BR9" s="276">
        <f t="shared" si="60"/>
        <v>2021</v>
      </c>
    </row>
    <row r="10" spans="1:70" x14ac:dyDescent="0.3">
      <c r="A10" s="26" t="s">
        <v>113</v>
      </c>
      <c r="B10" s="26"/>
      <c r="C10" s="51">
        <v>-861534</v>
      </c>
      <c r="D10" s="51">
        <v>-929100</v>
      </c>
      <c r="E10" s="51">
        <v>-1040438</v>
      </c>
      <c r="F10" s="51">
        <v>-1202494</v>
      </c>
      <c r="G10" s="51">
        <v>-1319961</v>
      </c>
      <c r="H10" s="51">
        <v>-1539686</v>
      </c>
      <c r="I10" s="26"/>
      <c r="J10" s="192" t="str">
        <f>A10</f>
        <v>Salary and personnel expenses (payroll costs)</v>
      </c>
      <c r="K10" s="51">
        <f t="shared" ref="K10:P11" si="61">C10</f>
        <v>-861534</v>
      </c>
      <c r="L10" s="51">
        <f t="shared" si="61"/>
        <v>-929100</v>
      </c>
      <c r="M10" s="51">
        <f t="shared" si="61"/>
        <v>-1040438</v>
      </c>
      <c r="N10" s="51">
        <f t="shared" si="61"/>
        <v>-1202494</v>
      </c>
      <c r="O10" s="51">
        <f t="shared" si="61"/>
        <v>-1319961</v>
      </c>
      <c r="P10" s="262">
        <f t="shared" si="61"/>
        <v>-1539686</v>
      </c>
      <c r="Q10" s="51">
        <f>-(Q7*Q59)</f>
        <v>-1747572.5940442926</v>
      </c>
      <c r="R10" s="51">
        <f>-(R7*R59)</f>
        <v>-2563653.4534340524</v>
      </c>
      <c r="S10" s="51">
        <f>-(S7*S59)</f>
        <v>-2669388.4594258773</v>
      </c>
      <c r="T10" s="51">
        <f>-(T7*T59)</f>
        <v>-2683797.8038656078</v>
      </c>
      <c r="U10" s="26"/>
      <c r="V10" s="180"/>
      <c r="X10" s="26"/>
      <c r="Y10" s="26"/>
      <c r="Z10" s="26"/>
      <c r="AA10" s="26"/>
      <c r="AB10" s="26"/>
      <c r="AC10" s="26"/>
      <c r="AD10" s="26"/>
      <c r="AE10" s="26"/>
      <c r="AM10" s="26"/>
      <c r="AO10" s="28" t="s">
        <v>77</v>
      </c>
      <c r="AP10" s="40">
        <f t="shared" si="59"/>
        <v>3.1766324311885051E-2</v>
      </c>
      <c r="AQ10" s="40">
        <f t="shared" si="59"/>
        <v>1.9315559110375496E-2</v>
      </c>
      <c r="AR10" s="40">
        <f t="shared" si="59"/>
        <v>2.229947505649962E-2</v>
      </c>
      <c r="AS10" s="40">
        <f t="shared" si="59"/>
        <v>9.6959458272377012E-3</v>
      </c>
      <c r="AT10" s="40">
        <f t="shared" si="59"/>
        <v>3.2688108221429406E-3</v>
      </c>
      <c r="AU10" s="40">
        <f t="shared" si="59"/>
        <v>6.3067898745973877E-3</v>
      </c>
      <c r="AV10" s="40">
        <f t="shared" si="59"/>
        <v>9.194192550205758E-3</v>
      </c>
      <c r="AW10" s="40">
        <f t="shared" si="59"/>
        <v>6.26743014099004E-3</v>
      </c>
      <c r="AX10" s="40">
        <f t="shared" si="59"/>
        <v>6.0191759908041001E-3</v>
      </c>
      <c r="AY10" s="40">
        <f t="shared" si="59"/>
        <v>5.9868589585858282E-3</v>
      </c>
      <c r="BD10" s="239" t="s">
        <v>378</v>
      </c>
      <c r="BE10" s="16">
        <f>P7</f>
        <v>15043945</v>
      </c>
      <c r="BF10" s="16">
        <f t="shared" ref="BF10:BI10" si="62">Q7</f>
        <v>18208232.978137217</v>
      </c>
      <c r="BG10" s="16">
        <f t="shared" si="62"/>
        <v>26711107.460952878</v>
      </c>
      <c r="BH10" s="16">
        <f t="shared" si="62"/>
        <v>27812777.073766161</v>
      </c>
      <c r="BI10" s="246">
        <f t="shared" si="62"/>
        <v>27962910.293705057</v>
      </c>
      <c r="BJ10" s="16"/>
      <c r="BL10" s="239" t="s">
        <v>403</v>
      </c>
      <c r="BM10" s="16">
        <f>'Balance Sheet'!B14</f>
        <v>3137522</v>
      </c>
      <c r="BN10" s="16">
        <f>'Balance Sheet'!C14</f>
        <v>3604770</v>
      </c>
      <c r="BO10" s="16">
        <f>'Balance Sheet'!D14</f>
        <v>3591490</v>
      </c>
      <c r="BP10" s="16">
        <f>'Balance Sheet'!E14</f>
        <v>4939621</v>
      </c>
      <c r="BQ10" s="16">
        <f>'Balance Sheet'!F14</f>
        <v>6402795</v>
      </c>
      <c r="BR10" s="246">
        <f>'Balance Sheet'!G14</f>
        <v>8010049</v>
      </c>
    </row>
    <row r="11" spans="1:70" ht="15" thickBot="1" x14ac:dyDescent="0.35">
      <c r="A11" s="26" t="s">
        <v>10</v>
      </c>
      <c r="B11" s="26"/>
      <c r="C11" s="51">
        <v>-1377795</v>
      </c>
      <c r="D11" s="51">
        <v>-1584825</v>
      </c>
      <c r="E11" s="51">
        <v>-1768036</v>
      </c>
      <c r="F11" s="51">
        <v>-1479023</v>
      </c>
      <c r="G11" s="51">
        <v>-1902210</v>
      </c>
      <c r="H11" s="51">
        <v>-2442610</v>
      </c>
      <c r="I11" s="26"/>
      <c r="J11" s="192" t="str">
        <f>A11</f>
        <v>Other operating expenses (O)</v>
      </c>
      <c r="K11" s="51">
        <f t="shared" si="61"/>
        <v>-1377795</v>
      </c>
      <c r="L11" s="51">
        <f t="shared" si="61"/>
        <v>-1584825</v>
      </c>
      <c r="M11" s="51">
        <f t="shared" si="61"/>
        <v>-1768036</v>
      </c>
      <c r="N11" s="51">
        <f>F11</f>
        <v>-1479023</v>
      </c>
      <c r="O11" s="51">
        <f t="shared" si="61"/>
        <v>-1902210</v>
      </c>
      <c r="P11" s="262">
        <f t="shared" si="61"/>
        <v>-2442610</v>
      </c>
      <c r="Q11" s="51">
        <f>-(Q7*Q60)</f>
        <v>-2687261.0362767386</v>
      </c>
      <c r="R11" s="51">
        <f>-(R7*R60)</f>
        <v>-3942157.2868606243</v>
      </c>
      <c r="S11" s="51">
        <f>-(S7*S60)</f>
        <v>-4104747.1344816363</v>
      </c>
      <c r="T11" s="51">
        <f>-(T7*T60)</f>
        <v>-4126904.5372717362</v>
      </c>
      <c r="U11" s="26"/>
      <c r="V11" s="26"/>
      <c r="X11" s="65" t="s">
        <v>33</v>
      </c>
      <c r="Y11" s="66">
        <f>-'Balance Sheet'!AE41</f>
        <v>273715</v>
      </c>
      <c r="Z11" s="66">
        <f>-'Balance Sheet'!AF41</f>
        <v>177098</v>
      </c>
      <c r="AA11" s="66">
        <f>-'Balance Sheet'!AG41</f>
        <v>239596</v>
      </c>
      <c r="AB11" s="66">
        <f>-'Balance Sheet'!AH41</f>
        <v>230990</v>
      </c>
      <c r="AC11" s="66">
        <f>-'Balance Sheet'!AI41</f>
        <v>223447</v>
      </c>
      <c r="AD11" s="66">
        <f>-'Balance Sheet'!AJ41</f>
        <v>901644</v>
      </c>
      <c r="AE11" s="66">
        <f>-'Balance Sheet'!AK41</f>
        <v>0</v>
      </c>
      <c r="AF11" s="66">
        <f>-'Balance Sheet'!AL41</f>
        <v>0</v>
      </c>
      <c r="AG11" s="66">
        <f>-'Balance Sheet'!AM41</f>
        <v>0</v>
      </c>
      <c r="AH11" s="66">
        <f>-'Balance Sheet'!AN41</f>
        <v>0</v>
      </c>
      <c r="AM11" s="26"/>
      <c r="AO11" s="28" t="s">
        <v>76</v>
      </c>
      <c r="AP11" s="40">
        <f t="shared" si="59"/>
        <v>7.2426187294666308E-2</v>
      </c>
      <c r="AQ11" s="40">
        <f t="shared" si="59"/>
        <v>-3.4206051489298839E-2</v>
      </c>
      <c r="AR11" s="40">
        <f t="shared" si="59"/>
        <v>7.4571476582787261E-2</v>
      </c>
      <c r="AS11" s="40">
        <f t="shared" si="59"/>
        <v>-2.696201024564561E-3</v>
      </c>
      <c r="AT11" s="40">
        <f t="shared" si="59"/>
        <v>-1.3903907897104018E-2</v>
      </c>
      <c r="AU11" s="40">
        <f t="shared" si="59"/>
        <v>5.1618308894375776E-2</v>
      </c>
      <c r="AV11" s="40">
        <f t="shared" si="59"/>
        <v>2.4634968726810317E-2</v>
      </c>
      <c r="AW11" s="40">
        <f t="shared" si="59"/>
        <v>2.4634968726810313E-2</v>
      </c>
      <c r="AX11" s="40">
        <f t="shared" si="59"/>
        <v>2.4634968726810317E-2</v>
      </c>
      <c r="AY11" s="40">
        <f t="shared" si="59"/>
        <v>2.4634968726810317E-2</v>
      </c>
      <c r="BD11" s="251" t="s">
        <v>379</v>
      </c>
      <c r="BE11" s="255">
        <f>BE10*AU4</f>
        <v>7327973</v>
      </c>
      <c r="BF11" s="255">
        <f>BF10*AV4</f>
        <v>8318139.5989022767</v>
      </c>
      <c r="BG11" s="255">
        <f t="shared" ref="BG11:BI11" si="63">BG10*AW4</f>
        <v>12202541.617754325</v>
      </c>
      <c r="BH11" s="255">
        <f t="shared" si="63"/>
        <v>12705821.735174429</v>
      </c>
      <c r="BI11" s="256">
        <f t="shared" si="63"/>
        <v>12774407.692053601</v>
      </c>
      <c r="BJ11" s="10"/>
      <c r="BL11" s="239" t="s">
        <v>402</v>
      </c>
      <c r="BM11" s="10">
        <f t="shared" ref="BM11:BR11" si="64">AP3*AP13</f>
        <v>358020</v>
      </c>
      <c r="BN11" s="10">
        <f t="shared" si="64"/>
        <v>414685.99999999994</v>
      </c>
      <c r="BO11" s="10">
        <f t="shared" si="64"/>
        <v>487778</v>
      </c>
      <c r="BP11" s="10">
        <f t="shared" si="64"/>
        <v>716807</v>
      </c>
      <c r="BQ11" s="10">
        <f t="shared" si="64"/>
        <v>780972</v>
      </c>
      <c r="BR11" s="272">
        <f t="shared" si="64"/>
        <v>803136</v>
      </c>
    </row>
    <row r="12" spans="1:70" x14ac:dyDescent="0.3">
      <c r="A12" s="26" t="s">
        <v>108</v>
      </c>
      <c r="B12" s="26"/>
      <c r="C12" s="51">
        <v>-358020</v>
      </c>
      <c r="D12" s="51">
        <v>-414686</v>
      </c>
      <c r="E12" s="51">
        <v>-487778</v>
      </c>
      <c r="F12" s="51">
        <v>-716807</v>
      </c>
      <c r="G12" s="51">
        <v>-780972</v>
      </c>
      <c r="H12" s="51">
        <v>-803136</v>
      </c>
      <c r="I12" s="26"/>
      <c r="J12" s="192" t="str">
        <f>A13</f>
        <v>Write-downs of PP&amp;E and intangible assets</v>
      </c>
      <c r="K12" s="51">
        <f t="shared" ref="K12:P12" si="65">C13</f>
        <v>0</v>
      </c>
      <c r="L12" s="51">
        <f t="shared" si="65"/>
        <v>-3926</v>
      </c>
      <c r="M12" s="51">
        <f t="shared" si="65"/>
        <v>0</v>
      </c>
      <c r="N12" s="51">
        <f>F13</f>
        <v>-1642</v>
      </c>
      <c r="O12" s="51">
        <f t="shared" si="65"/>
        <v>-31121</v>
      </c>
      <c r="P12" s="262">
        <f t="shared" si="65"/>
        <v>-3554</v>
      </c>
      <c r="Q12" s="51">
        <f>AVERAGE(K12:P12)</f>
        <v>-6707.166666666667</v>
      </c>
      <c r="R12" s="51">
        <f>Q12</f>
        <v>-6707.166666666667</v>
      </c>
      <c r="S12" s="51">
        <f t="shared" ref="S12:T12" si="66">R12</f>
        <v>-6707.166666666667</v>
      </c>
      <c r="T12" s="51">
        <f t="shared" si="66"/>
        <v>-6707.166666666667</v>
      </c>
      <c r="U12" s="26"/>
      <c r="V12" s="26"/>
      <c r="X12" s="35" t="s">
        <v>357</v>
      </c>
      <c r="Y12" s="62">
        <f t="shared" ref="Y12:AH12" si="67">Y8+Y11</f>
        <v>2453775</v>
      </c>
      <c r="Z12" s="62">
        <f t="shared" si="67"/>
        <v>722905</v>
      </c>
      <c r="AA12" s="62">
        <f t="shared" si="67"/>
        <v>1052723</v>
      </c>
      <c r="AB12" s="62">
        <f t="shared" si="67"/>
        <v>3561757</v>
      </c>
      <c r="AC12" s="62">
        <f t="shared" si="67"/>
        <v>5627192</v>
      </c>
      <c r="AD12" s="62">
        <f t="shared" si="67"/>
        <v>5918391</v>
      </c>
      <c r="AE12" s="62">
        <f t="shared" si="67"/>
        <v>4428623.3076572139</v>
      </c>
      <c r="AF12" s="62">
        <f t="shared" si="67"/>
        <v>5289381.1648021601</v>
      </c>
      <c r="AG12" s="62">
        <f t="shared" si="67"/>
        <v>5569560.4132643379</v>
      </c>
      <c r="AH12" s="62">
        <f t="shared" si="67"/>
        <v>5791516.7772231754</v>
      </c>
      <c r="AM12" s="26"/>
      <c r="AO12" s="42" t="s">
        <v>11</v>
      </c>
      <c r="AP12" s="41">
        <f t="shared" si="59"/>
        <v>0.36929165982820911</v>
      </c>
      <c r="AQ12" s="41">
        <f t="shared" si="59"/>
        <v>0.31577737311502252</v>
      </c>
      <c r="AR12" s="41">
        <f t="shared" si="59"/>
        <v>0.44499263569739234</v>
      </c>
      <c r="AS12" s="41">
        <f t="shared" si="59"/>
        <v>0.31624391046308226</v>
      </c>
      <c r="AT12" s="41">
        <f t="shared" si="59"/>
        <v>0.28276421758068504</v>
      </c>
      <c r="AU12" s="41">
        <f t="shared" si="59"/>
        <v>0.30587349262444125</v>
      </c>
      <c r="AV12" s="41">
        <f t="shared" si="59"/>
        <v>0.33306481960747386</v>
      </c>
      <c r="AW12" s="41">
        <f t="shared" si="59"/>
        <v>0.33025531592397556</v>
      </c>
      <c r="AX12" s="41">
        <f t="shared" si="59"/>
        <v>0.33001700790580679</v>
      </c>
      <c r="AY12" s="41">
        <f t="shared" si="59"/>
        <v>0.32998598563328779</v>
      </c>
      <c r="BE12" s="11"/>
      <c r="BF12" s="11"/>
      <c r="BG12" s="11"/>
      <c r="BH12" s="11"/>
      <c r="BI12" s="11"/>
      <c r="BJ12" s="11"/>
      <c r="BL12" s="239" t="s">
        <v>375</v>
      </c>
      <c r="BM12" s="11">
        <f t="shared" ref="BM12:BR12" si="68">BM11/BM10</f>
        <v>0.11410916003138782</v>
      </c>
      <c r="BN12" s="11">
        <f t="shared" si="68"/>
        <v>0.11503813003326147</v>
      </c>
      <c r="BO12" s="11">
        <f t="shared" si="68"/>
        <v>0.13581494031724994</v>
      </c>
      <c r="BP12" s="11">
        <f t="shared" si="68"/>
        <v>0.14511376480098373</v>
      </c>
      <c r="BQ12" s="11">
        <f t="shared" si="68"/>
        <v>0.12197360683888833</v>
      </c>
      <c r="BR12" s="275">
        <f t="shared" si="68"/>
        <v>0.10026605330379378</v>
      </c>
    </row>
    <row r="13" spans="1:70" ht="15" thickBot="1" x14ac:dyDescent="0.35">
      <c r="A13" s="26" t="s">
        <v>107</v>
      </c>
      <c r="B13" s="26"/>
      <c r="C13" s="51">
        <v>0</v>
      </c>
      <c r="D13" s="51">
        <v>-3926</v>
      </c>
      <c r="E13" s="51">
        <v>0</v>
      </c>
      <c r="F13" s="51">
        <v>-1642</v>
      </c>
      <c r="G13" s="51">
        <v>-31121</v>
      </c>
      <c r="H13" s="51">
        <v>-3554</v>
      </c>
      <c r="I13" s="26"/>
      <c r="J13" s="203" t="s">
        <v>15</v>
      </c>
      <c r="K13" s="71">
        <f t="shared" ref="K13:T13" si="69">SUM(K9:K12)</f>
        <v>2393796</v>
      </c>
      <c r="L13" s="71">
        <f t="shared" si="69"/>
        <v>3576913</v>
      </c>
      <c r="M13" s="71">
        <f t="shared" si="69"/>
        <v>3948589</v>
      </c>
      <c r="N13" s="71">
        <f t="shared" si="69"/>
        <v>3784403</v>
      </c>
      <c r="O13" s="71">
        <f t="shared" si="69"/>
        <v>3788472</v>
      </c>
      <c r="P13" s="263">
        <f t="shared" si="69"/>
        <v>3730122</v>
      </c>
      <c r="Q13" s="71">
        <f t="shared" si="69"/>
        <v>5448552.5822472414</v>
      </c>
      <c r="R13" s="71">
        <f t="shared" si="69"/>
        <v>7996047.9362372095</v>
      </c>
      <c r="S13" s="71">
        <f t="shared" si="69"/>
        <v>8326112.5780175505</v>
      </c>
      <c r="T13" s="71">
        <f t="shared" si="69"/>
        <v>8371093.0938474452</v>
      </c>
      <c r="U13" s="26"/>
      <c r="V13" s="26"/>
      <c r="AE13" s="26"/>
      <c r="AF13" s="26"/>
      <c r="AG13" s="26"/>
      <c r="AH13" s="26"/>
      <c r="AI13" s="26"/>
      <c r="AJ13" s="26"/>
      <c r="AK13" s="26"/>
      <c r="AL13" s="26"/>
      <c r="AM13" s="26"/>
      <c r="AO13" s="28" t="s">
        <v>226</v>
      </c>
      <c r="AP13" s="40">
        <f t="shared" ref="AP13:AY13" si="70">-K17/AP$3</f>
        <v>3.9648657214866219E-2</v>
      </c>
      <c r="AQ13" s="40">
        <f t="shared" si="70"/>
        <v>3.8335663872792664E-2</v>
      </c>
      <c r="AR13" s="40">
        <f t="shared" si="70"/>
        <v>4.3004247544247969E-2</v>
      </c>
      <c r="AS13" s="40">
        <f t="shared" si="70"/>
        <v>5.8574201176391852E-2</v>
      </c>
      <c r="AT13" s="40">
        <f t="shared" si="70"/>
        <v>6.048260342566851E-2</v>
      </c>
      <c r="AU13" s="40">
        <f t="shared" si="70"/>
        <v>5.3385996824636094E-2</v>
      </c>
      <c r="AV13" s="40">
        <f>-Q17/AV$3</f>
        <v>5.8914377270062254E-2</v>
      </c>
      <c r="AW13" s="40">
        <f t="shared" si="70"/>
        <v>4.406604268710769E-2</v>
      </c>
      <c r="AX13" s="40">
        <f t="shared" si="70"/>
        <v>4.6436389224318121E-2</v>
      </c>
      <c r="AY13" s="40">
        <f t="shared" si="70"/>
        <v>5.0678911727776908E-2</v>
      </c>
      <c r="AZ13" s="13">
        <f>AVERAGE(AP13:AU13)</f>
        <v>4.890522834310055E-2</v>
      </c>
      <c r="BD13" t="s">
        <v>392</v>
      </c>
      <c r="BE13" s="13"/>
      <c r="BF13" s="25"/>
      <c r="BG13" s="25"/>
      <c r="BH13" s="25"/>
      <c r="BI13" s="25"/>
      <c r="BL13" s="239" t="s">
        <v>376</v>
      </c>
      <c r="BM13" s="13">
        <f>AVERAGE(BM12:BR12)</f>
        <v>0.12205260922092752</v>
      </c>
      <c r="BN13" s="25"/>
      <c r="BO13" s="25"/>
      <c r="BP13" s="25"/>
      <c r="BQ13" s="25"/>
      <c r="BR13" s="187"/>
    </row>
    <row r="14" spans="1:70" ht="15" thickBot="1" x14ac:dyDescent="0.35">
      <c r="A14" s="35" t="s">
        <v>72</v>
      </c>
      <c r="B14" s="35"/>
      <c r="C14" s="51">
        <v>-6598168</v>
      </c>
      <c r="D14" s="51">
        <f>SUM(D9:D13)</f>
        <v>-7655011</v>
      </c>
      <c r="E14" s="51">
        <f t="shared" ref="E14" si="71">SUM(E9:E13)</f>
        <v>-7881743</v>
      </c>
      <c r="F14" s="51">
        <v>-9169992</v>
      </c>
      <c r="G14" s="51">
        <v>-9904842</v>
      </c>
      <c r="H14" s="51">
        <v>-12116948</v>
      </c>
      <c r="I14" s="26"/>
      <c r="J14" s="192" t="str">
        <f>A22</f>
        <v>Income from Investments in associates</v>
      </c>
      <c r="K14" s="51">
        <f t="shared" ref="K14:P14" si="72">C22</f>
        <v>286844</v>
      </c>
      <c r="L14" s="51">
        <f t="shared" si="72"/>
        <v>208941</v>
      </c>
      <c r="M14" s="51">
        <f t="shared" si="72"/>
        <v>252933</v>
      </c>
      <c r="N14" s="51">
        <f t="shared" si="72"/>
        <v>118655</v>
      </c>
      <c r="O14" s="51">
        <f t="shared" si="72"/>
        <v>42208</v>
      </c>
      <c r="P14" s="262">
        <f t="shared" si="72"/>
        <v>94879</v>
      </c>
      <c r="Q14" s="51">
        <f>AVERAGE(K14:P14)</f>
        <v>167410</v>
      </c>
      <c r="R14" s="51">
        <f>Q14</f>
        <v>167410</v>
      </c>
      <c r="S14" s="51">
        <f t="shared" ref="S14:T14" si="73">R14</f>
        <v>167410</v>
      </c>
      <c r="T14" s="51">
        <f t="shared" si="73"/>
        <v>167410</v>
      </c>
      <c r="U14" s="26"/>
      <c r="V14" s="26"/>
      <c r="AE14" s="26"/>
      <c r="AF14" s="26"/>
      <c r="AG14" s="26"/>
      <c r="AH14" s="26"/>
      <c r="AI14" s="26"/>
      <c r="AJ14" s="26"/>
      <c r="AK14" s="26"/>
      <c r="AL14" s="26"/>
      <c r="AM14" s="26"/>
      <c r="AO14" s="42" t="s">
        <v>12</v>
      </c>
      <c r="AP14" s="41">
        <f t="shared" ref="AP14:AY14" si="74">K18/AP$3</f>
        <v>0.32964300261334284</v>
      </c>
      <c r="AQ14" s="41">
        <f t="shared" si="74"/>
        <v>0.27744170924222983</v>
      </c>
      <c r="AR14" s="41">
        <f t="shared" si="74"/>
        <v>0.40198838815314436</v>
      </c>
      <c r="AS14" s="41">
        <f t="shared" si="74"/>
        <v>0.25766970928669036</v>
      </c>
      <c r="AT14" s="41">
        <f t="shared" si="74"/>
        <v>0.22228161415501652</v>
      </c>
      <c r="AU14" s="41">
        <f t="shared" si="74"/>
        <v>0.25248749579980517</v>
      </c>
      <c r="AV14" s="41">
        <f t="shared" si="74"/>
        <v>0.27415044233741154</v>
      </c>
      <c r="AW14" s="41">
        <f t="shared" si="74"/>
        <v>0.28618927323686782</v>
      </c>
      <c r="AX14" s="41">
        <f t="shared" si="74"/>
        <v>0.28358061868148865</v>
      </c>
      <c r="AY14" s="41">
        <f t="shared" si="74"/>
        <v>0.27930707390551091</v>
      </c>
      <c r="BD14" s="237"/>
      <c r="BE14" s="238">
        <f>AP$2</f>
        <v>2016</v>
      </c>
      <c r="BF14" s="238">
        <f t="shared" ref="BF14:BJ14" si="75">AQ$2</f>
        <v>2017</v>
      </c>
      <c r="BG14" s="238">
        <f t="shared" si="75"/>
        <v>2018</v>
      </c>
      <c r="BH14" s="238">
        <f t="shared" si="75"/>
        <v>2019</v>
      </c>
      <c r="BI14" s="238">
        <f t="shared" si="75"/>
        <v>2020</v>
      </c>
      <c r="BJ14" s="276">
        <f t="shared" si="75"/>
        <v>2021</v>
      </c>
      <c r="BL14" s="251" t="s">
        <v>368</v>
      </c>
      <c r="BM14" s="252">
        <f>CORREL(BM10:BR10,BM11:BR11)</f>
        <v>0.9144778851343085</v>
      </c>
      <c r="BN14" s="171"/>
      <c r="BO14" s="171"/>
      <c r="BP14" s="171"/>
      <c r="BQ14" s="171"/>
      <c r="BR14" s="240"/>
    </row>
    <row r="15" spans="1:70" ht="15" thickBot="1" x14ac:dyDescent="0.35">
      <c r="A15" s="35" t="s">
        <v>73</v>
      </c>
      <c r="B15" s="35"/>
      <c r="C15" s="51">
        <v>2431647</v>
      </c>
      <c r="D15" s="51">
        <f>D6+D14</f>
        <v>3162227</v>
      </c>
      <c r="E15" s="51">
        <v>3460812</v>
      </c>
      <c r="F15" s="51">
        <f>F6+F14</f>
        <v>3067597</v>
      </c>
      <c r="G15" s="51">
        <v>3007500</v>
      </c>
      <c r="H15" s="51">
        <v>2926996</v>
      </c>
      <c r="I15" s="26"/>
      <c r="J15" s="192" t="str">
        <f>A19</f>
        <v>Fair value adjustments</v>
      </c>
      <c r="K15" s="51">
        <f t="shared" ref="K15:O15" si="76">C19</f>
        <v>653995</v>
      </c>
      <c r="L15" s="51">
        <f t="shared" si="76"/>
        <v>-370015</v>
      </c>
      <c r="M15" s="51">
        <f t="shared" si="76"/>
        <v>845831</v>
      </c>
      <c r="N15" s="51">
        <f t="shared" si="76"/>
        <v>-32995</v>
      </c>
      <c r="O15" s="51">
        <f t="shared" si="76"/>
        <v>-179532</v>
      </c>
      <c r="P15" s="262">
        <f>H19</f>
        <v>776543</v>
      </c>
      <c r="Q15" s="51">
        <f>Q63*Q7</f>
        <v>448559.24998688663</v>
      </c>
      <c r="R15" s="51">
        <f>R63*R7</f>
        <v>658027.29695904383</v>
      </c>
      <c r="S15" s="51">
        <f>S63*S7</f>
        <v>685166.89341797633</v>
      </c>
      <c r="T15" s="51">
        <f>T63*T7</f>
        <v>688865.42059602635</v>
      </c>
      <c r="U15" s="26"/>
      <c r="V15" s="26"/>
      <c r="AE15" s="26"/>
      <c r="AF15" s="26"/>
      <c r="AG15" s="26"/>
      <c r="AH15" s="26"/>
      <c r="AI15" s="26"/>
      <c r="AJ15" s="26"/>
      <c r="AK15" s="26"/>
      <c r="AL15" s="26"/>
      <c r="AM15" s="26"/>
      <c r="AO15" s="43" t="s">
        <v>181</v>
      </c>
      <c r="AP15" s="40">
        <f t="shared" ref="AP15:AY15" si="77">-K19/AP$3</f>
        <v>7.6534245334400022E-2</v>
      </c>
      <c r="AQ15" s="40">
        <f t="shared" si="77"/>
        <v>5.1621495246753378E-2</v>
      </c>
      <c r="AR15" s="40">
        <f t="shared" si="77"/>
        <v>7.6997032590719869E-2</v>
      </c>
      <c r="AS15" s="40">
        <f t="shared" si="77"/>
        <v>5.0163230682122105E-2</v>
      </c>
      <c r="AT15" s="40">
        <f t="shared" si="77"/>
        <v>4.3629191639223283E-2</v>
      </c>
      <c r="AU15" s="40">
        <f t="shared" si="77"/>
        <v>4.7781482849079814E-2</v>
      </c>
      <c r="AV15" s="40">
        <f t="shared" si="77"/>
        <v>6.031309731423054E-2</v>
      </c>
      <c r="AW15" s="40">
        <f t="shared" si="77"/>
        <v>0.16312788574501463</v>
      </c>
      <c r="AX15" s="40">
        <f t="shared" si="77"/>
        <v>0.16164095264844849</v>
      </c>
      <c r="AY15" s="40">
        <f t="shared" si="77"/>
        <v>0.1592050321261412</v>
      </c>
      <c r="BD15" s="239" t="s">
        <v>374</v>
      </c>
      <c r="BE15" s="16">
        <f t="shared" ref="BE15:BJ15" si="78">AP3</f>
        <v>9029814</v>
      </c>
      <c r="BF15" s="16">
        <f t="shared" si="78"/>
        <v>10817238</v>
      </c>
      <c r="BG15" s="16">
        <f t="shared" si="78"/>
        <v>11342554</v>
      </c>
      <c r="BH15" s="16">
        <f t="shared" si="78"/>
        <v>12237589</v>
      </c>
      <c r="BI15" s="16">
        <f t="shared" si="78"/>
        <v>12912341</v>
      </c>
      <c r="BJ15" s="246">
        <f t="shared" si="78"/>
        <v>15043945</v>
      </c>
      <c r="BM15" s="170"/>
      <c r="BN15" s="170"/>
      <c r="BO15" s="170"/>
      <c r="BP15" s="170"/>
      <c r="BQ15" s="170"/>
      <c r="BR15" s="170"/>
    </row>
    <row r="16" spans="1:70" ht="15" thickBot="1" x14ac:dyDescent="0.35">
      <c r="A16" s="26"/>
      <c r="B16" s="26"/>
      <c r="C16" s="51"/>
      <c r="D16" s="51"/>
      <c r="E16" s="51"/>
      <c r="F16" s="51"/>
      <c r="G16" s="51"/>
      <c r="H16" s="51"/>
      <c r="I16" s="26"/>
      <c r="J16" s="203" t="s">
        <v>11</v>
      </c>
      <c r="K16" s="71">
        <f t="shared" ref="K16:T16" si="79">SUM(K13:K15)</f>
        <v>3334635</v>
      </c>
      <c r="L16" s="71">
        <f t="shared" si="79"/>
        <v>3415839</v>
      </c>
      <c r="M16" s="71">
        <f t="shared" si="79"/>
        <v>5047353</v>
      </c>
      <c r="N16" s="71">
        <f t="shared" si="79"/>
        <v>3870063</v>
      </c>
      <c r="O16" s="71">
        <f t="shared" si="79"/>
        <v>3651148</v>
      </c>
      <c r="P16" s="263">
        <f t="shared" si="79"/>
        <v>4601544</v>
      </c>
      <c r="Q16" s="71">
        <f t="shared" si="79"/>
        <v>6064521.8322341284</v>
      </c>
      <c r="R16" s="71">
        <f t="shared" si="79"/>
        <v>8821485.233196253</v>
      </c>
      <c r="S16" s="71">
        <f t="shared" si="79"/>
        <v>9178689.4714355282</v>
      </c>
      <c r="T16" s="71">
        <f t="shared" si="79"/>
        <v>9227368.514443472</v>
      </c>
      <c r="U16" s="26"/>
      <c r="V16" s="26"/>
      <c r="AE16" s="26"/>
      <c r="AF16" s="26"/>
      <c r="AG16" s="26"/>
      <c r="AH16" s="26"/>
      <c r="AI16" s="26"/>
      <c r="AJ16" s="26"/>
      <c r="AK16" s="26"/>
      <c r="AL16" s="26"/>
      <c r="AM16" s="26"/>
      <c r="AO16" s="44" t="s">
        <v>16</v>
      </c>
      <c r="AP16" s="40">
        <f t="shared" ref="AP16:AY16" si="80">K21/AP$3</f>
        <v>-8.4068730540850568E-4</v>
      </c>
      <c r="AQ16" s="40">
        <f t="shared" si="80"/>
        <v>-3.2160224264271521E-3</v>
      </c>
      <c r="AR16" s="40">
        <f t="shared" si="80"/>
        <v>-2.1698675624555104E-3</v>
      </c>
      <c r="AS16" s="40">
        <f t="shared" si="80"/>
        <v>9.1828545639177777E-5</v>
      </c>
      <c r="AT16" s="40">
        <f t="shared" si="80"/>
        <v>-5.0863433671709882E-3</v>
      </c>
      <c r="AU16" s="40">
        <f t="shared" si="80"/>
        <v>-2.3237987110428814E-3</v>
      </c>
      <c r="AV16" s="40">
        <f t="shared" si="80"/>
        <v>-4.4277405759049994E-3</v>
      </c>
      <c r="AW16" s="40">
        <f t="shared" si="80"/>
        <v>-3.6049080978848174E-3</v>
      </c>
      <c r="AX16" s="40">
        <f t="shared" si="80"/>
        <v>-3.6455057862820033E-3</v>
      </c>
      <c r="AY16" s="40">
        <f t="shared" si="80"/>
        <v>-3.7704325579182799E-3</v>
      </c>
      <c r="BD16" s="239" t="s">
        <v>392</v>
      </c>
      <c r="BE16" s="10">
        <f t="shared" ref="BE16:BJ16" si="81">AP6*BE15</f>
        <v>861534</v>
      </c>
      <c r="BF16" s="10">
        <f t="shared" si="81"/>
        <v>929100</v>
      </c>
      <c r="BG16" s="10">
        <f t="shared" si="81"/>
        <v>1040438</v>
      </c>
      <c r="BH16" s="10">
        <f t="shared" si="81"/>
        <v>1202494</v>
      </c>
      <c r="BI16" s="10">
        <f t="shared" si="81"/>
        <v>1319961</v>
      </c>
      <c r="BJ16" s="272">
        <f t="shared" si="81"/>
        <v>1539686</v>
      </c>
      <c r="BL16" s="237"/>
      <c r="BM16" s="238">
        <f>BM9</f>
        <v>2016</v>
      </c>
      <c r="BN16" s="238">
        <f t="shared" ref="BN16:BR16" si="82">BN9</f>
        <v>2017</v>
      </c>
      <c r="BO16" s="238">
        <f t="shared" si="82"/>
        <v>2018</v>
      </c>
      <c r="BP16" s="238">
        <f t="shared" si="82"/>
        <v>2019</v>
      </c>
      <c r="BQ16" s="238">
        <f t="shared" si="82"/>
        <v>2020</v>
      </c>
      <c r="BR16" s="276">
        <f t="shared" si="82"/>
        <v>2021</v>
      </c>
    </row>
    <row r="17" spans="1:70" x14ac:dyDescent="0.3">
      <c r="A17" s="26" t="s">
        <v>74</v>
      </c>
      <c r="B17" s="26"/>
      <c r="C17" s="51"/>
      <c r="D17" s="51"/>
      <c r="E17" s="51"/>
      <c r="F17" s="51">
        <v>0</v>
      </c>
      <c r="G17" s="51">
        <v>0</v>
      </c>
      <c r="H17" s="51">
        <v>-71601</v>
      </c>
      <c r="I17" s="26"/>
      <c r="J17" s="192" t="str">
        <f>A12</f>
        <v>Depreciation and amortisation of PP&amp;E and intangible assets</v>
      </c>
      <c r="K17" s="51">
        <f>C12</f>
        <v>-358020</v>
      </c>
      <c r="L17" s="51">
        <f t="shared" ref="L17:P17" si="83">D12</f>
        <v>-414686</v>
      </c>
      <c r="M17" s="51">
        <f t="shared" si="83"/>
        <v>-487778</v>
      </c>
      <c r="N17" s="51">
        <f>F12</f>
        <v>-716807</v>
      </c>
      <c r="O17" s="51">
        <f t="shared" si="83"/>
        <v>-780972</v>
      </c>
      <c r="P17" s="262">
        <f t="shared" si="83"/>
        <v>-803136</v>
      </c>
      <c r="Q17" s="232">
        <f>-Q64*'Balance Sheet'!AK9</f>
        <v>-1072726.7070951653</v>
      </c>
      <c r="R17" s="232">
        <f>-R64*'Balance Sheet'!AL9</f>
        <v>-1177052.8015942702</v>
      </c>
      <c r="S17" s="232">
        <f>-S64*'Balance Sheet'!AM9</f>
        <v>-1291524.941606597</v>
      </c>
      <c r="T17" s="232">
        <f>-T64*'Balance Sheet'!AN9</f>
        <v>-1417129.8624264228</v>
      </c>
      <c r="U17" s="26"/>
      <c r="V17" s="26"/>
      <c r="AE17" s="26"/>
      <c r="AF17" s="26"/>
      <c r="AG17" s="26"/>
      <c r="AH17" s="26"/>
      <c r="AI17" s="26"/>
      <c r="AJ17" s="26"/>
      <c r="AK17" s="26"/>
      <c r="AL17" s="26"/>
      <c r="AM17" s="26"/>
      <c r="AO17" s="45" t="s">
        <v>182</v>
      </c>
      <c r="AP17" s="40">
        <f t="shared" ref="AP17:AY17" si="84">-K22/AP$3</f>
        <v>7.7374932639808533E-2</v>
      </c>
      <c r="AQ17" s="40">
        <f t="shared" si="84"/>
        <v>5.4837517673180527E-2</v>
      </c>
      <c r="AR17" s="40">
        <f t="shared" si="84"/>
        <v>7.9166900153175374E-2</v>
      </c>
      <c r="AS17" s="40">
        <f t="shared" si="84"/>
        <v>5.007140213648293E-2</v>
      </c>
      <c r="AT17" s="40">
        <f t="shared" si="84"/>
        <v>4.8715535006394271E-2</v>
      </c>
      <c r="AU17" s="40">
        <f t="shared" si="84"/>
        <v>5.0105281560122693E-2</v>
      </c>
      <c r="AV17" s="40">
        <f t="shared" si="84"/>
        <v>6.4740837890135544E-2</v>
      </c>
      <c r="AW17" s="40">
        <f t="shared" si="84"/>
        <v>0.15117297474488692</v>
      </c>
      <c r="AX17" s="40">
        <f t="shared" si="84"/>
        <v>0.15108884706522591</v>
      </c>
      <c r="AY17" s="40">
        <f t="shared" si="84"/>
        <v>0.15002080452189642</v>
      </c>
      <c r="BD17" s="239" t="s">
        <v>375</v>
      </c>
      <c r="BE17" s="11">
        <f>BE16/BE15</f>
        <v>9.5409938676477721E-2</v>
      </c>
      <c r="BF17" s="11">
        <f t="shared" ref="BF17:BJ17" si="85">BF16/BF15</f>
        <v>8.58906866983975E-2</v>
      </c>
      <c r="BG17" s="11">
        <f t="shared" si="85"/>
        <v>9.1728723530873205E-2</v>
      </c>
      <c r="BH17" s="11">
        <f t="shared" si="85"/>
        <v>9.8262329287247679E-2</v>
      </c>
      <c r="BI17" s="11">
        <f t="shared" si="85"/>
        <v>0.10222476311615376</v>
      </c>
      <c r="BJ17" s="275">
        <f t="shared" si="85"/>
        <v>0.10234589397927206</v>
      </c>
      <c r="BL17" s="239" t="s">
        <v>374</v>
      </c>
      <c r="BM17" s="10">
        <f t="shared" ref="BM17:BR17" si="86">BE15</f>
        <v>9029814</v>
      </c>
      <c r="BN17" s="10">
        <f t="shared" si="86"/>
        <v>10817238</v>
      </c>
      <c r="BO17" s="10">
        <f t="shared" si="86"/>
        <v>11342554</v>
      </c>
      <c r="BP17" s="10">
        <f t="shared" si="86"/>
        <v>12237589</v>
      </c>
      <c r="BQ17" s="10">
        <f t="shared" si="86"/>
        <v>12912341</v>
      </c>
      <c r="BR17" s="272">
        <f t="shared" si="86"/>
        <v>15043945</v>
      </c>
    </row>
    <row r="18" spans="1:70" ht="15" thickBot="1" x14ac:dyDescent="0.35">
      <c r="A18" s="26" t="s">
        <v>75</v>
      </c>
      <c r="B18" s="26"/>
      <c r="C18" s="51"/>
      <c r="D18" s="51"/>
      <c r="E18" s="51"/>
      <c r="F18" s="51">
        <v>0</v>
      </c>
      <c r="G18" s="51">
        <v>0</v>
      </c>
      <c r="H18" s="51">
        <v>-180970</v>
      </c>
      <c r="I18" s="26"/>
      <c r="J18" s="203" t="s">
        <v>12</v>
      </c>
      <c r="K18" s="71">
        <f t="shared" ref="K18:T18" si="87">SUM(K16:K17)</f>
        <v>2976615</v>
      </c>
      <c r="L18" s="71">
        <f t="shared" si="87"/>
        <v>3001153</v>
      </c>
      <c r="M18" s="71">
        <f t="shared" si="87"/>
        <v>4559575</v>
      </c>
      <c r="N18" s="71">
        <f t="shared" si="87"/>
        <v>3153256</v>
      </c>
      <c r="O18" s="71">
        <f t="shared" si="87"/>
        <v>2870176</v>
      </c>
      <c r="P18" s="263">
        <f t="shared" si="87"/>
        <v>3798408</v>
      </c>
      <c r="Q18" s="71">
        <f t="shared" si="87"/>
        <v>4991795.1251389626</v>
      </c>
      <c r="R18" s="71">
        <f t="shared" si="87"/>
        <v>7644432.4316019826</v>
      </c>
      <c r="S18" s="71">
        <f t="shared" si="87"/>
        <v>7887164.5298289312</v>
      </c>
      <c r="T18" s="71">
        <f t="shared" si="87"/>
        <v>7810238.6520170495</v>
      </c>
      <c r="U18" s="26"/>
      <c r="V18" s="67"/>
      <c r="AE18" s="26"/>
      <c r="AF18" s="26"/>
      <c r="AG18" s="26"/>
      <c r="AH18" s="26"/>
      <c r="AI18" s="26"/>
      <c r="AJ18" s="26"/>
      <c r="AK18" s="26"/>
      <c r="AL18" s="26"/>
      <c r="AM18" s="26"/>
      <c r="AO18" s="42" t="s">
        <v>0</v>
      </c>
      <c r="AP18" s="41">
        <f t="shared" ref="AP18:AY18" si="88">K23/AP$3</f>
        <v>0.25226806997353435</v>
      </c>
      <c r="AQ18" s="41">
        <f t="shared" si="88"/>
        <v>0.22260419156904931</v>
      </c>
      <c r="AR18" s="41">
        <f t="shared" si="88"/>
        <v>0.32282148799996896</v>
      </c>
      <c r="AS18" s="41">
        <f t="shared" si="88"/>
        <v>0.20759830715020744</v>
      </c>
      <c r="AT18" s="41">
        <f t="shared" si="88"/>
        <v>0.17356607914862224</v>
      </c>
      <c r="AU18" s="41">
        <f t="shared" si="88"/>
        <v>0.20238221423968247</v>
      </c>
      <c r="AV18" s="41">
        <f t="shared" si="88"/>
        <v>0.20940960444727599</v>
      </c>
      <c r="AW18" s="41">
        <f t="shared" si="88"/>
        <v>0.13501629849198094</v>
      </c>
      <c r="AX18" s="41">
        <f t="shared" si="88"/>
        <v>0.13249177161626274</v>
      </c>
      <c r="AY18" s="41">
        <f t="shared" si="88"/>
        <v>0.12928626938361445</v>
      </c>
      <c r="BD18" s="239" t="s">
        <v>376</v>
      </c>
      <c r="BE18" s="13">
        <f>AVERAGE(BE17:BJ17)</f>
        <v>9.597705588140365E-2</v>
      </c>
      <c r="BF18" s="25"/>
      <c r="BG18" s="25"/>
      <c r="BH18" s="25"/>
      <c r="BI18" s="25"/>
      <c r="BJ18" s="187"/>
      <c r="BL18" s="239" t="s">
        <v>403</v>
      </c>
      <c r="BM18" s="16">
        <f>BM10</f>
        <v>3137522</v>
      </c>
      <c r="BN18" s="16">
        <f t="shared" ref="BN18:BR18" si="89">BN10</f>
        <v>3604770</v>
      </c>
      <c r="BO18" s="16">
        <f t="shared" si="89"/>
        <v>3591490</v>
      </c>
      <c r="BP18" s="16">
        <f t="shared" si="89"/>
        <v>4939621</v>
      </c>
      <c r="BQ18" s="16">
        <f t="shared" si="89"/>
        <v>6402795</v>
      </c>
      <c r="BR18" s="246">
        <f t="shared" si="89"/>
        <v>8010049</v>
      </c>
    </row>
    <row r="19" spans="1:70" ht="15" thickBot="1" x14ac:dyDescent="0.35">
      <c r="A19" s="26" t="s">
        <v>76</v>
      </c>
      <c r="B19" s="26"/>
      <c r="C19" s="51">
        <v>653995</v>
      </c>
      <c r="D19" s="51">
        <v>-370015</v>
      </c>
      <c r="E19" s="51">
        <v>845831</v>
      </c>
      <c r="F19" s="51">
        <v>-32995</v>
      </c>
      <c r="G19" s="51">
        <v>-179532</v>
      </c>
      <c r="H19" s="51">
        <v>776543</v>
      </c>
      <c r="I19" s="26"/>
      <c r="J19" s="204" t="s">
        <v>181</v>
      </c>
      <c r="K19" s="199">
        <f t="shared" ref="K19:P19" si="90">C30</f>
        <v>-691090</v>
      </c>
      <c r="L19" s="199">
        <f t="shared" si="90"/>
        <v>-558402</v>
      </c>
      <c r="M19" s="199">
        <f t="shared" si="90"/>
        <v>-873343</v>
      </c>
      <c r="N19" s="199">
        <f t="shared" si="90"/>
        <v>-613877</v>
      </c>
      <c r="O19" s="199">
        <f t="shared" si="90"/>
        <v>-563355</v>
      </c>
      <c r="P19" s="352">
        <f t="shared" si="90"/>
        <v>-718822</v>
      </c>
      <c r="Q19" s="51">
        <f>-(Q18*Q65)</f>
        <v>-1098194.9275305718</v>
      </c>
      <c r="R19" s="51">
        <f>-(R18*R65)</f>
        <v>-4357326.4860131294</v>
      </c>
      <c r="S19" s="51">
        <f>-(S18*S65)</f>
        <v>-4495683.78200249</v>
      </c>
      <c r="T19" s="51">
        <f>-(T18*T65)</f>
        <v>-4451836.0316497181</v>
      </c>
      <c r="U19" s="26"/>
      <c r="V19" s="67"/>
      <c r="W19" s="68"/>
      <c r="X19" s="68"/>
      <c r="Y19" s="68"/>
      <c r="Z19" s="68"/>
      <c r="AA19" s="68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O19" s="42" t="s">
        <v>4</v>
      </c>
      <c r="AP19" s="41">
        <f t="shared" ref="AP19:AY19" si="91">-K28/AP$3</f>
        <v>3.3627492216340227E-3</v>
      </c>
      <c r="AQ19" s="41">
        <f t="shared" si="91"/>
        <v>1.3400093443446469E-2</v>
      </c>
      <c r="AR19" s="41">
        <f t="shared" si="91"/>
        <v>9.4342067932848273E-3</v>
      </c>
      <c r="AS19" s="41">
        <f t="shared" si="91"/>
        <v>-4.1740248017808082E-4</v>
      </c>
      <c r="AT19" s="41">
        <f t="shared" si="91"/>
        <v>2.3119742578049943E-2</v>
      </c>
      <c r="AU19" s="41">
        <f t="shared" si="91"/>
        <v>1.0562721413831279E-2</v>
      </c>
      <c r="AV19" s="41">
        <f t="shared" si="91"/>
        <v>2.0126093526840905E-2</v>
      </c>
      <c r="AW19" s="41">
        <f t="shared" si="91"/>
        <v>1.6385945899476444E-2</v>
      </c>
      <c r="AX19" s="41">
        <f t="shared" si="91"/>
        <v>1.6570480846736377E-2</v>
      </c>
      <c r="AY19" s="41">
        <f t="shared" si="91"/>
        <v>1.7138329808719457E-2</v>
      </c>
      <c r="BD19" s="251" t="s">
        <v>368</v>
      </c>
      <c r="BE19" s="252">
        <f>CORREL(BE15:BJ15,BE16:BJ16)</f>
        <v>0.97568705977854087</v>
      </c>
      <c r="BF19" s="171"/>
      <c r="BG19" s="171"/>
      <c r="BH19" s="171"/>
      <c r="BI19" s="171"/>
      <c r="BJ19" s="240"/>
      <c r="BL19" s="239" t="s">
        <v>375</v>
      </c>
      <c r="BM19" s="11">
        <f>BM18/BM17</f>
        <v>0.34746252802106442</v>
      </c>
      <c r="BN19" s="11">
        <f t="shared" ref="BN19:BR19" si="92">BN18/BN17</f>
        <v>0.33324310697425719</v>
      </c>
      <c r="BO19" s="11">
        <f t="shared" si="92"/>
        <v>0.31663856306084148</v>
      </c>
      <c r="BP19" s="11">
        <f t="shared" si="92"/>
        <v>0.40364331568906259</v>
      </c>
      <c r="BQ19" s="11">
        <f t="shared" si="92"/>
        <v>0.49586631889600807</v>
      </c>
      <c r="BR19" s="275">
        <f t="shared" si="92"/>
        <v>0.53244338502965816</v>
      </c>
    </row>
    <row r="20" spans="1:70" ht="16.2" thickBot="1" x14ac:dyDescent="0.35">
      <c r="A20" s="35" t="s">
        <v>3</v>
      </c>
      <c r="B20" s="35"/>
      <c r="C20" s="51">
        <v>3085602</v>
      </c>
      <c r="D20" s="51">
        <v>2792213</v>
      </c>
      <c r="E20" s="51">
        <f>E6+E14+SUM(E17:E19)</f>
        <v>4306642</v>
      </c>
      <c r="F20" s="51">
        <v>3034601</v>
      </c>
      <c r="G20" s="51">
        <v>2827968</v>
      </c>
      <c r="H20" s="51">
        <f>H15+SUM(H17:H19)</f>
        <v>3450968</v>
      </c>
      <c r="I20" s="26"/>
      <c r="J20" s="204"/>
      <c r="P20" s="187"/>
      <c r="R20" s="366">
        <f>R46</f>
        <v>415620</v>
      </c>
      <c r="S20" s="366">
        <f t="shared" ref="S20" si="93">S46</f>
        <v>394875</v>
      </c>
      <c r="T20" s="366">
        <f>T46</f>
        <v>362250</v>
      </c>
      <c r="U20" s="26"/>
      <c r="V20" s="67"/>
      <c r="W20" s="56"/>
      <c r="X20" s="57"/>
      <c r="Y20" s="26">
        <v>2016</v>
      </c>
      <c r="Z20" s="26">
        <v>2017</v>
      </c>
      <c r="AA20" s="26">
        <v>2018</v>
      </c>
      <c r="AB20" s="26">
        <v>2019</v>
      </c>
      <c r="AC20" s="26">
        <v>2020</v>
      </c>
      <c r="AD20" s="26">
        <v>2021</v>
      </c>
      <c r="AE20" s="78" t="s">
        <v>353</v>
      </c>
      <c r="AF20" s="78" t="s">
        <v>354</v>
      </c>
      <c r="AG20" s="78" t="s">
        <v>355</v>
      </c>
      <c r="AH20" s="78" t="s">
        <v>356</v>
      </c>
      <c r="AI20" s="26"/>
      <c r="AJ20" s="26"/>
      <c r="AK20" s="26"/>
      <c r="AL20" s="26"/>
      <c r="AM20" s="26"/>
      <c r="AO20" s="46" t="s">
        <v>13</v>
      </c>
      <c r="AP20" s="47">
        <f t="shared" ref="AP20:AX20" si="94">K29/AP$3</f>
        <v>8.4068730540850568E-4</v>
      </c>
      <c r="AQ20" s="47">
        <f t="shared" si="94"/>
        <v>3.2160224264271521E-3</v>
      </c>
      <c r="AR20" s="47">
        <f t="shared" si="94"/>
        <v>2.1698675624555104E-3</v>
      </c>
      <c r="AS20" s="47">
        <f t="shared" si="94"/>
        <v>-9.1828545639177777E-5</v>
      </c>
      <c r="AT20" s="47">
        <f t="shared" si="94"/>
        <v>5.0863433671709882E-3</v>
      </c>
      <c r="AU20" s="47">
        <f t="shared" si="94"/>
        <v>2.3237987110428814E-3</v>
      </c>
      <c r="AV20" s="47">
        <f t="shared" si="94"/>
        <v>4.4277405759049994E-3</v>
      </c>
      <c r="AW20" s="47">
        <f t="shared" si="94"/>
        <v>3.6049080978848174E-3</v>
      </c>
      <c r="AX20" s="47">
        <f t="shared" si="94"/>
        <v>3.6455057862820033E-3</v>
      </c>
      <c r="AY20" s="47">
        <f>T29/AY$3</f>
        <v>3.7704325579182799E-3</v>
      </c>
      <c r="BL20" s="239" t="s">
        <v>408</v>
      </c>
      <c r="BN20" s="13">
        <f>(BN19-BM19)/BM19</f>
        <v>-4.0923610174001847E-2</v>
      </c>
      <c r="BO20" s="13">
        <f t="shared" ref="BO20:BR20" si="95">(BO19-BN19)/BN19</f>
        <v>-4.9827118898811591E-2</v>
      </c>
      <c r="BP20" s="13">
        <f t="shared" si="95"/>
        <v>0.27477623630923093</v>
      </c>
      <c r="BQ20" s="13">
        <f t="shared" si="95"/>
        <v>0.22847647817358474</v>
      </c>
      <c r="BR20" s="245">
        <f t="shared" si="95"/>
        <v>7.3763965689552999E-2</v>
      </c>
    </row>
    <row r="21" spans="1:70" x14ac:dyDescent="0.3">
      <c r="A21" s="26"/>
      <c r="B21" s="26"/>
      <c r="C21" s="51"/>
      <c r="D21" s="51"/>
      <c r="E21" s="51"/>
      <c r="F21" s="51"/>
      <c r="G21" s="51"/>
      <c r="H21" s="51"/>
      <c r="I21" s="26"/>
      <c r="J21" s="205" t="s">
        <v>16</v>
      </c>
      <c r="K21" s="199">
        <f t="shared" ref="K21:T21" si="96">-K29</f>
        <v>-7591.25</v>
      </c>
      <c r="L21" s="199">
        <f t="shared" si="96"/>
        <v>-34788.479999999996</v>
      </c>
      <c r="M21" s="199">
        <f t="shared" si="96"/>
        <v>-24611.84</v>
      </c>
      <c r="N21" s="199">
        <f t="shared" si="96"/>
        <v>1123.76</v>
      </c>
      <c r="O21" s="199">
        <f t="shared" si="96"/>
        <v>-65676.600000000006</v>
      </c>
      <c r="P21" s="352">
        <f t="shared" si="96"/>
        <v>-34959.1</v>
      </c>
      <c r="Q21" s="199">
        <f t="shared" si="96"/>
        <v>-80621.331972829692</v>
      </c>
      <c r="R21" s="199">
        <f t="shared" si="96"/>
        <v>-96291.0875894606</v>
      </c>
      <c r="S21" s="199">
        <f t="shared" si="96"/>
        <v>-101391.63975498598</v>
      </c>
      <c r="T21" s="199">
        <f t="shared" si="96"/>
        <v>-105432.26738553376</v>
      </c>
      <c r="U21" s="26"/>
      <c r="V21" s="67"/>
      <c r="W21" s="58"/>
      <c r="X21" s="59" t="s">
        <v>0</v>
      </c>
      <c r="Y21" s="257">
        <f t="shared" ref="Y21:AH21" si="97">K23</f>
        <v>2277933.75</v>
      </c>
      <c r="Z21" s="257">
        <f t="shared" si="97"/>
        <v>2407962.52</v>
      </c>
      <c r="AA21" s="257">
        <f t="shared" si="97"/>
        <v>3661620.16</v>
      </c>
      <c r="AB21" s="257">
        <f t="shared" si="97"/>
        <v>2540502.7599999998</v>
      </c>
      <c r="AC21" s="257">
        <f t="shared" si="97"/>
        <v>2241144.4</v>
      </c>
      <c r="AD21" s="257">
        <f t="shared" si="97"/>
        <v>3044626.9</v>
      </c>
      <c r="AE21" s="257">
        <f t="shared" si="97"/>
        <v>3812978.8656355608</v>
      </c>
      <c r="AF21" s="257">
        <f t="shared" si="97"/>
        <v>3606434.8579993928</v>
      </c>
      <c r="AG21" s="257">
        <f t="shared" si="97"/>
        <v>3684964.1080714548</v>
      </c>
      <c r="AH21" s="257">
        <f t="shared" si="97"/>
        <v>3615220.3529817974</v>
      </c>
      <c r="AI21" s="26"/>
      <c r="AJ21" s="26"/>
      <c r="AK21" s="26"/>
      <c r="AL21" s="26"/>
      <c r="AM21" s="26"/>
      <c r="AO21" s="31" t="s">
        <v>56</v>
      </c>
      <c r="AP21" s="48">
        <f t="shared" ref="AP21:AX21" si="98">K30/AP3</f>
        <v>0.24974600805730882</v>
      </c>
      <c r="AQ21" s="48">
        <f t="shared" si="98"/>
        <v>0.21242012055203002</v>
      </c>
      <c r="AR21" s="48">
        <f t="shared" si="98"/>
        <v>0.31555714876913965</v>
      </c>
      <c r="AS21" s="48">
        <f t="shared" si="98"/>
        <v>0.20792388108474635</v>
      </c>
      <c r="AT21" s="48">
        <f t="shared" si="98"/>
        <v>0.15553267993774328</v>
      </c>
      <c r="AU21" s="48">
        <f t="shared" si="98"/>
        <v>0.19414329153689408</v>
      </c>
      <c r="AV21" s="48">
        <f t="shared" si="98"/>
        <v>0.19371125149634005</v>
      </c>
      <c r="AW21" s="48">
        <f t="shared" si="98"/>
        <v>0.1222352606903893</v>
      </c>
      <c r="AX21" s="48">
        <f t="shared" si="98"/>
        <v>0.11956679655580836</v>
      </c>
      <c r="AY21" s="48">
        <f>T30/AY3</f>
        <v>0.11591837213281327</v>
      </c>
      <c r="BD21" s="237"/>
      <c r="BE21" s="241">
        <f t="shared" ref="BE21:BI22" si="99">BE9</f>
        <v>2021</v>
      </c>
      <c r="BF21" s="241" t="str">
        <f t="shared" si="99"/>
        <v>2022e</v>
      </c>
      <c r="BG21" s="241" t="str">
        <f t="shared" si="99"/>
        <v>2023e</v>
      </c>
      <c r="BH21" s="241" t="str">
        <f t="shared" si="99"/>
        <v>2024e</v>
      </c>
      <c r="BI21" s="242" t="str">
        <f t="shared" si="99"/>
        <v>2025e</v>
      </c>
      <c r="BL21" s="239" t="s">
        <v>409</v>
      </c>
      <c r="BM21" s="13">
        <f>AVERAGE(BM20:BR20)</f>
        <v>9.7253190219911051E-2</v>
      </c>
      <c r="BN21" s="25"/>
      <c r="BO21" s="25"/>
      <c r="BP21" s="25"/>
      <c r="BQ21" s="25"/>
      <c r="BR21" s="187"/>
    </row>
    <row r="22" spans="1:70" ht="15" thickBot="1" x14ac:dyDescent="0.35">
      <c r="A22" s="35" t="s">
        <v>77</v>
      </c>
      <c r="B22" s="35"/>
      <c r="C22" s="51">
        <v>286844</v>
      </c>
      <c r="D22" s="51">
        <v>208941</v>
      </c>
      <c r="E22" s="51">
        <v>252933</v>
      </c>
      <c r="F22" s="51">
        <v>118655</v>
      </c>
      <c r="G22" s="51">
        <v>42208</v>
      </c>
      <c r="H22" s="51">
        <v>94879</v>
      </c>
      <c r="I22" s="26"/>
      <c r="J22" s="206" t="s">
        <v>182</v>
      </c>
      <c r="K22" s="51">
        <f t="shared" ref="K22:P22" si="100">SUM(K19:K21)</f>
        <v>-698681.25</v>
      </c>
      <c r="L22" s="51">
        <f t="shared" si="100"/>
        <v>-593190.48</v>
      </c>
      <c r="M22" s="51">
        <f t="shared" si="100"/>
        <v>-897954.84</v>
      </c>
      <c r="N22" s="51">
        <f t="shared" si="100"/>
        <v>-612753.24</v>
      </c>
      <c r="O22" s="51">
        <f t="shared" si="100"/>
        <v>-629031.6</v>
      </c>
      <c r="P22" s="262">
        <f t="shared" si="100"/>
        <v>-753781.1</v>
      </c>
      <c r="Q22" s="51">
        <f>SUM(Q19:Q21)</f>
        <v>-1178816.2595034016</v>
      </c>
      <c r="R22" s="51">
        <f t="shared" ref="R22" si="101">SUM(R19:R21)</f>
        <v>-4037997.5736025898</v>
      </c>
      <c r="S22" s="51">
        <f t="shared" ref="S22" si="102">SUM(S19:S21)</f>
        <v>-4202200.4217574764</v>
      </c>
      <c r="T22" s="51">
        <f t="shared" ref="T22" si="103">SUM(T19:T21)</f>
        <v>-4195018.2990352521</v>
      </c>
      <c r="U22" s="26"/>
      <c r="V22" s="67"/>
      <c r="W22" s="58" t="s">
        <v>129</v>
      </c>
      <c r="X22" s="59" t="s">
        <v>66</v>
      </c>
      <c r="Y22" s="257">
        <f>-K17</f>
        <v>358020</v>
      </c>
      <c r="Z22" s="257">
        <f t="shared" ref="Z22:AH22" si="104">-L17</f>
        <v>414686</v>
      </c>
      <c r="AA22" s="257">
        <f t="shared" si="104"/>
        <v>487778</v>
      </c>
      <c r="AB22" s="257">
        <f>-N17</f>
        <v>716807</v>
      </c>
      <c r="AC22" s="257">
        <f t="shared" si="104"/>
        <v>780972</v>
      </c>
      <c r="AD22" s="257">
        <f t="shared" si="104"/>
        <v>803136</v>
      </c>
      <c r="AE22" s="257">
        <f t="shared" si="104"/>
        <v>1072726.7070951653</v>
      </c>
      <c r="AF22" s="257">
        <f>-R17</f>
        <v>1177052.8015942702</v>
      </c>
      <c r="AG22" s="257">
        <f t="shared" si="104"/>
        <v>1291524.941606597</v>
      </c>
      <c r="AH22" s="257">
        <f t="shared" si="104"/>
        <v>1417129.8624264228</v>
      </c>
      <c r="AI22" s="26"/>
      <c r="AJ22" s="26"/>
      <c r="AK22" s="26"/>
      <c r="AL22" s="26"/>
      <c r="AM22" s="26"/>
      <c r="AV22" s="26"/>
      <c r="AW22" s="26"/>
      <c r="BD22" s="239" t="s">
        <v>378</v>
      </c>
      <c r="BE22" s="16">
        <f t="shared" si="99"/>
        <v>15043945</v>
      </c>
      <c r="BF22" s="16">
        <f t="shared" si="99"/>
        <v>18208232.978137217</v>
      </c>
      <c r="BG22" s="16">
        <f t="shared" si="99"/>
        <v>26711107.460952878</v>
      </c>
      <c r="BH22" s="16">
        <f t="shared" si="99"/>
        <v>27812777.073766161</v>
      </c>
      <c r="BI22" s="246">
        <f t="shared" si="99"/>
        <v>27962910.293705057</v>
      </c>
      <c r="BL22" s="251" t="s">
        <v>368</v>
      </c>
      <c r="BM22" s="252">
        <f>CORREL(BM17:BR17,BM18:BR18)</f>
        <v>0.94673500519891651</v>
      </c>
      <c r="BN22" s="171"/>
      <c r="BO22" s="171"/>
      <c r="BP22" s="171"/>
      <c r="BQ22" s="171"/>
      <c r="BR22" s="240"/>
    </row>
    <row r="23" spans="1:70" ht="15" thickBot="1" x14ac:dyDescent="0.35">
      <c r="A23" s="26"/>
      <c r="B23" s="26"/>
      <c r="C23" s="51"/>
      <c r="D23" s="51"/>
      <c r="E23" s="51"/>
      <c r="F23" s="51"/>
      <c r="G23" s="51"/>
      <c r="H23" s="51"/>
      <c r="I23" s="26"/>
      <c r="J23" s="203" t="s">
        <v>0</v>
      </c>
      <c r="K23" s="71">
        <f t="shared" ref="K23:T23" si="105">K18+K22</f>
        <v>2277933.75</v>
      </c>
      <c r="L23" s="71">
        <f t="shared" si="105"/>
        <v>2407962.52</v>
      </c>
      <c r="M23" s="71">
        <f t="shared" si="105"/>
        <v>3661620.16</v>
      </c>
      <c r="N23" s="71">
        <f t="shared" si="105"/>
        <v>2540502.7599999998</v>
      </c>
      <c r="O23" s="71">
        <f t="shared" si="105"/>
        <v>2241144.4</v>
      </c>
      <c r="P23" s="263">
        <f t="shared" si="105"/>
        <v>3044626.9</v>
      </c>
      <c r="Q23" s="71">
        <f t="shared" si="105"/>
        <v>3812978.8656355608</v>
      </c>
      <c r="R23" s="71">
        <f>R18+R22</f>
        <v>3606434.8579993928</v>
      </c>
      <c r="S23" s="71">
        <f t="shared" si="105"/>
        <v>3684964.1080714548</v>
      </c>
      <c r="T23" s="71">
        <f t="shared" si="105"/>
        <v>3615220.3529817974</v>
      </c>
      <c r="U23" s="26"/>
      <c r="V23" s="69"/>
      <c r="W23" s="280" t="s">
        <v>389</v>
      </c>
      <c r="X23" t="s">
        <v>390</v>
      </c>
      <c r="Y23" s="4">
        <f>K12</f>
        <v>0</v>
      </c>
      <c r="Z23" s="4">
        <f>-L12</f>
        <v>3926</v>
      </c>
      <c r="AA23" s="4">
        <f>-M12</f>
        <v>0</v>
      </c>
      <c r="AB23" s="4">
        <f>-N12</f>
        <v>1642</v>
      </c>
      <c r="AC23" s="4">
        <f t="shared" ref="AC23:AH23" si="106">-O12</f>
        <v>31121</v>
      </c>
      <c r="AD23" s="4">
        <f t="shared" si="106"/>
        <v>3554</v>
      </c>
      <c r="AE23" s="4">
        <f t="shared" si="106"/>
        <v>6707.166666666667</v>
      </c>
      <c r="AF23" s="4">
        <f t="shared" si="106"/>
        <v>6707.166666666667</v>
      </c>
      <c r="AG23" s="4">
        <f t="shared" si="106"/>
        <v>6707.166666666667</v>
      </c>
      <c r="AH23" s="4">
        <f t="shared" si="106"/>
        <v>6707.166666666667</v>
      </c>
      <c r="AI23" s="26"/>
      <c r="AJ23" s="26"/>
      <c r="AK23" s="26"/>
      <c r="AL23" s="26"/>
      <c r="AM23" s="26"/>
      <c r="AO23" s="26"/>
      <c r="AP23" s="26"/>
      <c r="AQ23" s="26"/>
      <c r="AR23" s="26"/>
      <c r="AS23" s="26"/>
      <c r="AT23" s="26"/>
      <c r="AU23" s="26"/>
      <c r="AV23" s="26"/>
      <c r="AW23" s="26"/>
      <c r="BD23" s="251" t="s">
        <v>393</v>
      </c>
      <c r="BE23" s="255">
        <f>BE22*AU6</f>
        <v>1539686</v>
      </c>
      <c r="BF23" s="255">
        <f>BF22*AV6</f>
        <v>1747572.5940442926</v>
      </c>
      <c r="BG23" s="255">
        <f>BG22*AW6</f>
        <v>2563653.4534340524</v>
      </c>
      <c r="BH23" s="255">
        <f>BH22*AX6</f>
        <v>2669388.4594258773</v>
      </c>
      <c r="BI23" s="256">
        <f>BI22*AY6</f>
        <v>2683797.8038656078</v>
      </c>
    </row>
    <row r="24" spans="1:70" x14ac:dyDescent="0.3">
      <c r="A24" s="26" t="s">
        <v>79</v>
      </c>
      <c r="B24" s="26"/>
      <c r="C24" s="51">
        <v>5014</v>
      </c>
      <c r="D24" s="51">
        <v>11109</v>
      </c>
      <c r="E24" s="51">
        <v>10964</v>
      </c>
      <c r="F24" s="51">
        <v>12465</v>
      </c>
      <c r="G24" s="51">
        <v>10264</v>
      </c>
      <c r="H24" s="51">
        <v>15192</v>
      </c>
      <c r="I24" s="26"/>
      <c r="J24" s="192" t="s">
        <v>116</v>
      </c>
      <c r="K24" s="51">
        <f t="shared" ref="K24:P27" si="107">C24</f>
        <v>5014</v>
      </c>
      <c r="L24" s="51">
        <f t="shared" si="107"/>
        <v>11109</v>
      </c>
      <c r="M24" s="51">
        <f t="shared" si="107"/>
        <v>10964</v>
      </c>
      <c r="N24" s="51">
        <f t="shared" si="107"/>
        <v>12465</v>
      </c>
      <c r="O24" s="51">
        <f t="shared" si="107"/>
        <v>10264</v>
      </c>
      <c r="P24" s="262">
        <f t="shared" si="107"/>
        <v>15192</v>
      </c>
      <c r="Q24" s="231"/>
      <c r="R24" s="231"/>
      <c r="S24" s="231"/>
      <c r="T24" s="231"/>
      <c r="U24" s="26"/>
      <c r="V24" s="26"/>
      <c r="W24" s="58" t="s">
        <v>130</v>
      </c>
      <c r="X24" s="59" t="s">
        <v>131</v>
      </c>
      <c r="Y24" s="257" t="s">
        <v>55</v>
      </c>
      <c r="Z24" s="257">
        <f t="shared" ref="Z24:AH24" si="108">Z6-Y6</f>
        <v>-1261463</v>
      </c>
      <c r="AA24" s="257">
        <f t="shared" si="108"/>
        <v>1452547</v>
      </c>
      <c r="AB24" s="257">
        <f t="shared" si="108"/>
        <v>647912</v>
      </c>
      <c r="AC24" s="257">
        <f t="shared" si="108"/>
        <v>-157141</v>
      </c>
      <c r="AD24" s="257">
        <f t="shared" si="108"/>
        <v>1228363</v>
      </c>
      <c r="AE24" s="257">
        <f t="shared" si="108"/>
        <v>991398.85324497614</v>
      </c>
      <c r="AF24" s="257">
        <f t="shared" si="108"/>
        <v>3366686.0692429198</v>
      </c>
      <c r="AG24" s="257">
        <f t="shared" si="108"/>
        <v>436202.57430149987</v>
      </c>
      <c r="AH24" s="257">
        <f t="shared" si="108"/>
        <v>59444.770250389352</v>
      </c>
      <c r="AI24" s="26"/>
      <c r="AJ24" s="26"/>
      <c r="AK24" s="26"/>
      <c r="AL24" s="26"/>
      <c r="AM24" s="26"/>
      <c r="AO24" s="26"/>
      <c r="AP24" s="26"/>
      <c r="AQ24" s="26"/>
      <c r="AR24" s="26"/>
      <c r="AS24" s="26"/>
      <c r="AT24" s="26"/>
      <c r="AU24" s="26"/>
      <c r="AV24" s="26"/>
      <c r="AW24" s="26"/>
      <c r="BL24" s="237"/>
      <c r="BM24" s="241">
        <f>BE9</f>
        <v>2021</v>
      </c>
      <c r="BN24" s="241" t="str">
        <f>BF9</f>
        <v>2022e</v>
      </c>
      <c r="BO24" s="241" t="str">
        <f>BG9</f>
        <v>2023e</v>
      </c>
      <c r="BP24" s="241" t="str">
        <f>BH9</f>
        <v>2024e</v>
      </c>
      <c r="BQ24" s="242" t="str">
        <f>BI9</f>
        <v>2025e</v>
      </c>
    </row>
    <row r="25" spans="1:70" ht="15.6" x14ac:dyDescent="0.3">
      <c r="A25" s="26" t="s">
        <v>65</v>
      </c>
      <c r="B25" s="26"/>
      <c r="C25" s="51">
        <v>78142</v>
      </c>
      <c r="D25" s="51">
        <v>0</v>
      </c>
      <c r="E25" s="51"/>
      <c r="F25" s="51">
        <v>236926</v>
      </c>
      <c r="G25" s="51">
        <v>1321</v>
      </c>
      <c r="H25" s="51">
        <v>21453</v>
      </c>
      <c r="I25" s="26"/>
      <c r="J25" s="192" t="s">
        <v>9</v>
      </c>
      <c r="K25" s="51">
        <f t="shared" si="107"/>
        <v>78142</v>
      </c>
      <c r="L25" s="51">
        <f t="shared" si="107"/>
        <v>0</v>
      </c>
      <c r="M25" s="51">
        <f t="shared" si="107"/>
        <v>0</v>
      </c>
      <c r="N25" s="51">
        <f t="shared" si="107"/>
        <v>236926</v>
      </c>
      <c r="O25" s="51">
        <f t="shared" si="107"/>
        <v>1321</v>
      </c>
      <c r="P25" s="262">
        <f t="shared" si="107"/>
        <v>21453</v>
      </c>
      <c r="Q25" s="231"/>
      <c r="R25" s="231"/>
      <c r="S25" s="231"/>
      <c r="T25" s="231"/>
      <c r="U25" s="26"/>
      <c r="V25" s="67"/>
      <c r="W25" s="56" t="s">
        <v>130</v>
      </c>
      <c r="X25" s="59" t="s">
        <v>132</v>
      </c>
      <c r="Y25" s="257" t="s">
        <v>55</v>
      </c>
      <c r="Z25" s="257">
        <f>Z4-Y4</f>
        <v>614505</v>
      </c>
      <c r="AA25" s="257">
        <f t="shared" ref="AA25:AH25" si="109">AA4-Z4</f>
        <v>286487</v>
      </c>
      <c r="AB25" s="257">
        <f t="shared" si="109"/>
        <v>2469986</v>
      </c>
      <c r="AC25" s="257">
        <f t="shared" si="109"/>
        <v>3476921</v>
      </c>
      <c r="AD25" s="257">
        <f t="shared" si="109"/>
        <v>2880913</v>
      </c>
      <c r="AE25" s="257">
        <f t="shared" si="109"/>
        <v>228153.65240114182</v>
      </c>
      <c r="AF25" s="257">
        <f t="shared" si="109"/>
        <v>854763.32841245644</v>
      </c>
      <c r="AG25" s="257">
        <f t="shared" si="109"/>
        <v>937891.78898355737</v>
      </c>
      <c r="AH25" s="257">
        <f t="shared" si="109"/>
        <v>1029104.7575432677</v>
      </c>
      <c r="AI25" s="26"/>
      <c r="AJ25" s="26"/>
      <c r="AK25" s="26"/>
      <c r="AL25" s="26"/>
      <c r="AM25" s="26"/>
      <c r="AO25" s="28" t="s">
        <v>116</v>
      </c>
      <c r="AP25" s="29">
        <f t="shared" ref="AP25:AU26" si="110">K24/AP$3</f>
        <v>5.5527168112211387E-4</v>
      </c>
      <c r="AQ25" s="29">
        <f t="shared" si="110"/>
        <v>1.0269719497712818E-3</v>
      </c>
      <c r="AR25" s="29">
        <f t="shared" si="110"/>
        <v>9.6662532970969329E-4</v>
      </c>
      <c r="AS25" s="29">
        <f t="shared" si="110"/>
        <v>1.0185829904893848E-3</v>
      </c>
      <c r="AT25" s="29">
        <f t="shared" si="110"/>
        <v>7.9489846186682955E-4</v>
      </c>
      <c r="AU25" s="29">
        <f t="shared" si="110"/>
        <v>1.0098415010158573E-3</v>
      </c>
      <c r="AV25" s="26"/>
      <c r="AW25" s="26"/>
      <c r="BL25" s="239" t="s">
        <v>404</v>
      </c>
      <c r="BM25" s="16">
        <f>BR10</f>
        <v>8010049</v>
      </c>
      <c r="BN25" s="16">
        <f>BM25*(1+$BM$21)</f>
        <v>8789051.8190678079</v>
      </c>
      <c r="BO25" s="16">
        <f>BN25*(1+$BM$21)</f>
        <v>9643815.1474802643</v>
      </c>
      <c r="BP25" s="16">
        <f>BO25*(1+$BM$21)</f>
        <v>10581706.936463822</v>
      </c>
      <c r="BQ25" s="246">
        <f>BP25*(1+$BM$21)</f>
        <v>11610811.694007089</v>
      </c>
    </row>
    <row r="26" spans="1:70" ht="16.2" thickBot="1" x14ac:dyDescent="0.35">
      <c r="A26" s="26" t="s">
        <v>80</v>
      </c>
      <c r="B26" s="26"/>
      <c r="C26" s="51">
        <v>-106328</v>
      </c>
      <c r="D26" s="51">
        <v>-106961</v>
      </c>
      <c r="E26" s="51">
        <v>-116101</v>
      </c>
      <c r="F26" s="51">
        <v>-170190</v>
      </c>
      <c r="G26" s="51">
        <v>-149854</v>
      </c>
      <c r="H26" s="51">
        <v>-184646</v>
      </c>
      <c r="I26" s="26"/>
      <c r="J26" s="192" t="s">
        <v>194</v>
      </c>
      <c r="K26" s="51">
        <f t="shared" si="107"/>
        <v>-106328</v>
      </c>
      <c r="L26" s="51">
        <f t="shared" si="107"/>
        <v>-106961</v>
      </c>
      <c r="M26" s="51">
        <f t="shared" si="107"/>
        <v>-116101</v>
      </c>
      <c r="N26" s="51">
        <f t="shared" si="107"/>
        <v>-170190</v>
      </c>
      <c r="O26" s="51">
        <f t="shared" si="107"/>
        <v>-149854</v>
      </c>
      <c r="P26" s="262">
        <f t="shared" si="107"/>
        <v>-184646</v>
      </c>
      <c r="Q26" s="231"/>
      <c r="R26" s="231"/>
      <c r="S26" s="231"/>
      <c r="T26" s="231"/>
      <c r="U26" s="26"/>
      <c r="V26" s="67"/>
      <c r="W26" s="63" t="s">
        <v>133</v>
      </c>
      <c r="X26" s="64" t="s">
        <v>1</v>
      </c>
      <c r="Y26" s="258" t="s">
        <v>55</v>
      </c>
      <c r="Z26" s="258">
        <f>Z21+Z22+Z23-Z24-Z25</f>
        <v>3473532.52</v>
      </c>
      <c r="AA26" s="258">
        <f t="shared" ref="AA26:AC26" si="111">AA21+AA22+AA23-AA24-AA25</f>
        <v>2410364.16</v>
      </c>
      <c r="AB26" s="258">
        <f t="shared" si="111"/>
        <v>141053.75999999978</v>
      </c>
      <c r="AC26" s="258">
        <f t="shared" si="111"/>
        <v>-266542.60000000009</v>
      </c>
      <c r="AD26" s="258">
        <f>AD21+AD22+AD23-AD24-AD25</f>
        <v>-257959.10000000009</v>
      </c>
      <c r="AE26" s="258">
        <f>AE21+AE22+AE23-AE24-AE25</f>
        <v>3672860.2337512746</v>
      </c>
      <c r="AF26" s="258">
        <f t="shared" ref="AF26:AH26" si="112">AF21+AF22+AF23-AF24-AF25</f>
        <v>568745.42860495392</v>
      </c>
      <c r="AG26" s="258">
        <f t="shared" si="112"/>
        <v>3609101.8530596616</v>
      </c>
      <c r="AH26" s="258">
        <f t="shared" si="112"/>
        <v>3950507.8542812299</v>
      </c>
      <c r="AI26" s="26"/>
      <c r="AJ26" s="26"/>
      <c r="AK26" s="26"/>
      <c r="AL26" s="26"/>
      <c r="AM26" s="26"/>
      <c r="AO26" s="28" t="s">
        <v>9</v>
      </c>
      <c r="AP26" s="29">
        <f t="shared" si="110"/>
        <v>8.6537773646278866E-3</v>
      </c>
      <c r="AQ26" s="29">
        <f t="shared" si="110"/>
        <v>0</v>
      </c>
      <c r="AR26" s="29">
        <f t="shared" si="110"/>
        <v>0</v>
      </c>
      <c r="AS26" s="29">
        <f t="shared" si="110"/>
        <v>1.9360512924563818E-2</v>
      </c>
      <c r="AT26" s="29">
        <f t="shared" si="110"/>
        <v>1.0230522877300097E-4</v>
      </c>
      <c r="AU26" s="29">
        <f t="shared" si="110"/>
        <v>1.4260222302062392E-3</v>
      </c>
      <c r="AV26" s="26"/>
      <c r="AW26" s="26"/>
      <c r="BD26" t="s">
        <v>391</v>
      </c>
      <c r="BL26" s="251" t="s">
        <v>405</v>
      </c>
      <c r="BM26" s="255">
        <f>-P17</f>
        <v>803136</v>
      </c>
      <c r="BN26" s="255">
        <f>BN25*$BM$13</f>
        <v>1072726.7070951653</v>
      </c>
      <c r="BO26" s="255">
        <f>BO25*$BM$13</f>
        <v>1177052.8015942702</v>
      </c>
      <c r="BP26" s="255">
        <f>BP25*$BM$13</f>
        <v>1291524.941606597</v>
      </c>
      <c r="BQ26" s="256">
        <f>BQ25*$BM$13</f>
        <v>1417129.8624264228</v>
      </c>
    </row>
    <row r="27" spans="1:70" x14ac:dyDescent="0.3">
      <c r="A27" s="26" t="s">
        <v>81</v>
      </c>
      <c r="B27" s="26"/>
      <c r="C27" s="51">
        <v>-7193</v>
      </c>
      <c r="D27" s="51">
        <v>-49100</v>
      </c>
      <c r="E27" s="51">
        <v>-1871</v>
      </c>
      <c r="F27" s="51">
        <v>-74093</v>
      </c>
      <c r="G27" s="51">
        <v>-160261</v>
      </c>
      <c r="H27" s="51">
        <v>-10904</v>
      </c>
      <c r="I27" s="26"/>
      <c r="J27" s="192" t="s">
        <v>117</v>
      </c>
      <c r="K27" s="51">
        <f t="shared" si="107"/>
        <v>-7193</v>
      </c>
      <c r="L27" s="51">
        <f t="shared" si="107"/>
        <v>-49100</v>
      </c>
      <c r="M27" s="51">
        <f t="shared" si="107"/>
        <v>-1871</v>
      </c>
      <c r="N27" s="51">
        <f t="shared" si="107"/>
        <v>-74093</v>
      </c>
      <c r="O27" s="51">
        <f t="shared" si="107"/>
        <v>-160261</v>
      </c>
      <c r="P27" s="262">
        <f t="shared" si="107"/>
        <v>-10904</v>
      </c>
      <c r="Q27" s="231"/>
      <c r="R27" s="231"/>
      <c r="S27" s="231"/>
      <c r="T27" s="231"/>
      <c r="U27" s="26"/>
      <c r="V27" s="67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O27" s="28" t="s">
        <v>194</v>
      </c>
      <c r="AP27" s="29">
        <f t="shared" ref="AP27:AU28" si="113">-K26/AP$3</f>
        <v>1.1775214860461135E-2</v>
      </c>
      <c r="AQ27" s="29">
        <f t="shared" si="113"/>
        <v>9.8880139273999513E-3</v>
      </c>
      <c r="AR27" s="29">
        <f t="shared" si="113"/>
        <v>1.0235878092359093E-2</v>
      </c>
      <c r="AS27" s="29">
        <f t="shared" si="113"/>
        <v>1.3907151155346041E-2</v>
      </c>
      <c r="AT27" s="29">
        <f t="shared" si="113"/>
        <v>1.1605486565139505E-2</v>
      </c>
      <c r="AU27" s="29">
        <f t="shared" si="113"/>
        <v>1.2273775263070956E-2</v>
      </c>
      <c r="AV27" s="26"/>
      <c r="AW27" s="26"/>
      <c r="BD27" s="237"/>
      <c r="BE27" s="238">
        <f>AP$2</f>
        <v>2016</v>
      </c>
      <c r="BF27" s="238">
        <f t="shared" ref="BF27" si="114">AQ$2</f>
        <v>2017</v>
      </c>
      <c r="BG27" s="238">
        <f t="shared" ref="BG27" si="115">AR$2</f>
        <v>2018</v>
      </c>
      <c r="BH27" s="238">
        <f t="shared" ref="BH27" si="116">AS$2</f>
        <v>2019</v>
      </c>
      <c r="BI27" s="238">
        <f t="shared" ref="BI27" si="117">AT$2</f>
        <v>2020</v>
      </c>
      <c r="BJ27" s="276">
        <f t="shared" ref="BJ27" si="118">AU$2</f>
        <v>2021</v>
      </c>
    </row>
    <row r="28" spans="1:70" ht="15" thickBot="1" x14ac:dyDescent="0.35">
      <c r="A28" s="35" t="s">
        <v>109</v>
      </c>
      <c r="B28" s="35"/>
      <c r="C28" s="51">
        <v>-30366</v>
      </c>
      <c r="D28" s="51">
        <v>-144953</v>
      </c>
      <c r="E28" s="51">
        <v>-107007</v>
      </c>
      <c r="F28" s="51">
        <f>SUM(F24:F27)</f>
        <v>5108</v>
      </c>
      <c r="G28" s="51">
        <v>-298531</v>
      </c>
      <c r="H28" s="51">
        <f>SUM(H24:H27)</f>
        <v>-158905</v>
      </c>
      <c r="I28" s="26"/>
      <c r="J28" s="203" t="s">
        <v>4</v>
      </c>
      <c r="K28" s="71">
        <f t="shared" ref="K28:P28" si="119">SUM(K24:K27)</f>
        <v>-30365</v>
      </c>
      <c r="L28" s="71">
        <f t="shared" si="119"/>
        <v>-144952</v>
      </c>
      <c r="M28" s="71">
        <f t="shared" si="119"/>
        <v>-107008</v>
      </c>
      <c r="N28" s="71">
        <f t="shared" si="119"/>
        <v>5108</v>
      </c>
      <c r="O28" s="71">
        <f t="shared" si="119"/>
        <v>-298530</v>
      </c>
      <c r="P28" s="263">
        <f t="shared" si="119"/>
        <v>-158905</v>
      </c>
      <c r="Q28" s="71">
        <f>-(Q66*'Balance Sheet'!AK42)</f>
        <v>-366460.59987649857</v>
      </c>
      <c r="R28" s="71">
        <f>-(R66*'Balance Sheet'!AL42)</f>
        <v>-437686.76177027548</v>
      </c>
      <c r="S28" s="71">
        <f>-(S66*'Balance Sheet'!AM42)</f>
        <v>-460871.08979539084</v>
      </c>
      <c r="T28" s="71">
        <f>-(T66*'Balance Sheet'!AN42)</f>
        <v>-479237.57902515348</v>
      </c>
      <c r="U28" s="26"/>
      <c r="V28" s="67"/>
      <c r="W28" s="26"/>
      <c r="X28" s="26"/>
      <c r="Y28" s="26"/>
      <c r="Z28" s="26"/>
      <c r="AA28" s="26"/>
      <c r="AB28" s="26"/>
      <c r="AC28" s="26"/>
      <c r="AD28" s="26"/>
      <c r="AE28" s="49"/>
      <c r="AF28" s="49"/>
      <c r="AG28" s="49"/>
      <c r="AH28" s="49"/>
      <c r="AI28" s="26"/>
      <c r="AJ28" s="26"/>
      <c r="AK28" s="26"/>
      <c r="AL28" s="26"/>
      <c r="AM28" s="26"/>
      <c r="AO28" s="28" t="s">
        <v>117</v>
      </c>
      <c r="AP28" s="29">
        <f t="shared" si="113"/>
        <v>7.9658340692288895E-4</v>
      </c>
      <c r="AQ28" s="29">
        <f t="shared" si="113"/>
        <v>4.5390514658177989E-3</v>
      </c>
      <c r="AR28" s="29">
        <f t="shared" si="113"/>
        <v>1.6495403063542831E-4</v>
      </c>
      <c r="AS28" s="29">
        <f t="shared" si="113"/>
        <v>6.0545422795290809E-3</v>
      </c>
      <c r="AT28" s="29">
        <f t="shared" si="113"/>
        <v>1.241145970355027E-2</v>
      </c>
      <c r="AU28" s="29">
        <f t="shared" si="113"/>
        <v>7.2480988198241883E-4</v>
      </c>
      <c r="AV28" s="26"/>
      <c r="AW28" s="26"/>
      <c r="BD28" s="239" t="s">
        <v>374</v>
      </c>
      <c r="BE28" s="16">
        <f t="shared" ref="BE28:BJ28" si="120">BE3</f>
        <v>9029814</v>
      </c>
      <c r="BF28" s="16">
        <f t="shared" si="120"/>
        <v>10817238</v>
      </c>
      <c r="BG28" s="16">
        <f t="shared" si="120"/>
        <v>11342554</v>
      </c>
      <c r="BH28" s="16">
        <f t="shared" si="120"/>
        <v>12237589</v>
      </c>
      <c r="BI28" s="16">
        <f t="shared" si="120"/>
        <v>12912341</v>
      </c>
      <c r="BJ28" s="246">
        <f t="shared" si="120"/>
        <v>15043945</v>
      </c>
      <c r="BL28" t="s">
        <v>413</v>
      </c>
    </row>
    <row r="29" spans="1:70" x14ac:dyDescent="0.3">
      <c r="A29" s="35" t="s">
        <v>5</v>
      </c>
      <c r="B29" s="35"/>
      <c r="C29" s="51">
        <f>C20+C22+C28</f>
        <v>3342080</v>
      </c>
      <c r="D29" s="51">
        <f>D20+D22+D28</f>
        <v>2856201</v>
      </c>
      <c r="E29" s="51">
        <f>E20+E22+E28</f>
        <v>4452568</v>
      </c>
      <c r="F29" s="51">
        <v>3158365</v>
      </c>
      <c r="G29" s="51">
        <f>G20+G22+G28</f>
        <v>2571645</v>
      </c>
      <c r="H29" s="51">
        <f>H20+H22+H28</f>
        <v>3386942</v>
      </c>
      <c r="I29" s="26"/>
      <c r="J29" s="206" t="s">
        <v>13</v>
      </c>
      <c r="K29" s="51">
        <f t="shared" ref="K29:P29" si="121">-(K28*K65)</f>
        <v>7591.25</v>
      </c>
      <c r="L29" s="51">
        <f t="shared" si="121"/>
        <v>34788.479999999996</v>
      </c>
      <c r="M29" s="51">
        <f t="shared" si="121"/>
        <v>24611.84</v>
      </c>
      <c r="N29" s="51">
        <f t="shared" si="121"/>
        <v>-1123.76</v>
      </c>
      <c r="O29" s="51">
        <f t="shared" si="121"/>
        <v>65676.600000000006</v>
      </c>
      <c r="P29" s="262">
        <f t="shared" si="121"/>
        <v>34959.1</v>
      </c>
      <c r="Q29" s="51">
        <f>-Q28*Q65</f>
        <v>80621.331972829692</v>
      </c>
      <c r="R29" s="51">
        <f>-R28*$Q$65</f>
        <v>96291.0875894606</v>
      </c>
      <c r="S29" s="51">
        <f>-S28*$Q$65</f>
        <v>101391.63975498598</v>
      </c>
      <c r="T29" s="51">
        <f>-T28*$Q$65</f>
        <v>105432.26738553376</v>
      </c>
      <c r="U29" s="26"/>
      <c r="V29" s="181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O29" s="26"/>
      <c r="AP29" s="26"/>
      <c r="AQ29" s="26"/>
      <c r="AR29" s="26"/>
      <c r="AS29" s="26"/>
      <c r="AT29" s="26"/>
      <c r="AU29" s="26"/>
      <c r="AV29" s="26"/>
      <c r="AW29" s="26"/>
      <c r="BD29" s="239" t="s">
        <v>391</v>
      </c>
      <c r="BE29" s="10">
        <v>286844</v>
      </c>
      <c r="BF29" s="10">
        <v>208941</v>
      </c>
      <c r="BG29" s="10">
        <v>252933</v>
      </c>
      <c r="BH29" s="10">
        <v>118654.99999999999</v>
      </c>
      <c r="BI29" s="10">
        <v>42208</v>
      </c>
      <c r="BJ29" s="272">
        <v>94879</v>
      </c>
      <c r="BL29" s="237"/>
      <c r="BM29" s="241">
        <f>BM34</f>
        <v>2021</v>
      </c>
      <c r="BN29" s="241" t="str">
        <f>BN34</f>
        <v>2022e</v>
      </c>
      <c r="BO29" s="241" t="str">
        <f>BO34</f>
        <v>2023e</v>
      </c>
      <c r="BP29" s="241" t="str">
        <f>BP34</f>
        <v>2024e</v>
      </c>
      <c r="BQ29" s="242" t="str">
        <f>BQ34</f>
        <v>2025e</v>
      </c>
    </row>
    <row r="30" spans="1:70" ht="15" thickBot="1" x14ac:dyDescent="0.35">
      <c r="A30" s="26" t="s">
        <v>6</v>
      </c>
      <c r="B30" s="26"/>
      <c r="C30" s="51">
        <v>-691090</v>
      </c>
      <c r="D30" s="51">
        <v>-558402</v>
      </c>
      <c r="E30" s="51">
        <v>-873343</v>
      </c>
      <c r="F30" s="51">
        <v>-613877</v>
      </c>
      <c r="G30" s="51">
        <v>-563355</v>
      </c>
      <c r="H30" s="51">
        <v>-718822</v>
      </c>
      <c r="I30" s="26"/>
      <c r="J30" s="207" t="s">
        <v>14</v>
      </c>
      <c r="K30" s="71">
        <f>K23+K28+K29</f>
        <v>2255160</v>
      </c>
      <c r="L30" s="71">
        <f t="shared" ref="L30:S30" si="122">L23+L28+L29</f>
        <v>2297799</v>
      </c>
      <c r="M30" s="71">
        <f t="shared" si="122"/>
        <v>3579224</v>
      </c>
      <c r="N30" s="71">
        <f t="shared" si="122"/>
        <v>2544487</v>
      </c>
      <c r="O30" s="71">
        <f t="shared" si="122"/>
        <v>2008291</v>
      </c>
      <c r="P30" s="263">
        <f t="shared" si="122"/>
        <v>2920681</v>
      </c>
      <c r="Q30" s="71">
        <f>Q23+Q28+Q29</f>
        <v>3527139.5977318916</v>
      </c>
      <c r="R30" s="71">
        <f>R23+R28+R29</f>
        <v>3265039.1838185778</v>
      </c>
      <c r="S30" s="71">
        <f t="shared" si="122"/>
        <v>3325484.6580310497</v>
      </c>
      <c r="T30" s="71">
        <f>T23+T28+T29</f>
        <v>3241415.0413421774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O30" s="26"/>
      <c r="AP30" s="26"/>
      <c r="AQ30" s="26"/>
      <c r="AR30" s="26"/>
      <c r="AS30" s="26"/>
      <c r="AT30" s="26"/>
      <c r="AU30" s="26"/>
      <c r="AV30" s="26"/>
      <c r="AW30" s="26"/>
      <c r="BD30" s="239" t="s">
        <v>375</v>
      </c>
      <c r="BE30" s="11">
        <f t="shared" ref="BE30:BJ30" si="123">BE29/BE28</f>
        <v>3.1766324311885051E-2</v>
      </c>
      <c r="BF30" s="11">
        <f t="shared" si="123"/>
        <v>1.9315559110375496E-2</v>
      </c>
      <c r="BG30" s="11">
        <f t="shared" si="123"/>
        <v>2.229947505649962E-2</v>
      </c>
      <c r="BH30" s="11">
        <f t="shared" si="123"/>
        <v>9.6959458272377012E-3</v>
      </c>
      <c r="BI30" s="11">
        <f t="shared" si="123"/>
        <v>3.2688108221429406E-3</v>
      </c>
      <c r="BJ30" s="275">
        <f t="shared" si="123"/>
        <v>6.3067898745973877E-3</v>
      </c>
      <c r="BL30" s="239" t="s">
        <v>417</v>
      </c>
      <c r="BM30" s="16">
        <f>'Balance Sheet'!AJ20</f>
        <v>6218093</v>
      </c>
      <c r="BN30" s="16">
        <f>'Balance Sheet'!AK20</f>
        <v>7209491.8532449761</v>
      </c>
      <c r="BO30" s="16">
        <f>'Balance Sheet'!AL20</f>
        <v>10576177.922487896</v>
      </c>
      <c r="BP30" s="16">
        <f>'Balance Sheet'!AM20</f>
        <v>11012380.496789396</v>
      </c>
      <c r="BQ30" s="246">
        <f>'Balance Sheet'!AN20</f>
        <v>11071825.267039785</v>
      </c>
    </row>
    <row r="31" spans="1:70" ht="15" thickBot="1" x14ac:dyDescent="0.35">
      <c r="A31" s="35" t="s">
        <v>7</v>
      </c>
      <c r="B31" s="35"/>
      <c r="C31" s="51">
        <f>C29+C30</f>
        <v>2650990</v>
      </c>
      <c r="D31" s="51">
        <v>2297798</v>
      </c>
      <c r="E31" s="51">
        <f>SUM(E29:E30)</f>
        <v>3579225</v>
      </c>
      <c r="F31" s="51">
        <v>2544487</v>
      </c>
      <c r="G31" s="51">
        <f>SUM(G29:G30)</f>
        <v>2008290</v>
      </c>
      <c r="H31" s="51">
        <f>SUM(H29:H30)</f>
        <v>2668120</v>
      </c>
      <c r="I31" s="26"/>
      <c r="Q31" s="9">
        <f>Q30/'Vekst og lønnsomhet'!$Q$43*1000</f>
        <v>29.941762543918966</v>
      </c>
      <c r="R31" s="9">
        <f>R30/'Vekst og lønnsomhet'!$Q$43*1000</f>
        <v>27.716801456157718</v>
      </c>
      <c r="S31" s="9">
        <f>S30/'Vekst og lønnsomhet'!$Q$43*1000</f>
        <v>28.229920936001449</v>
      </c>
      <c r="T31" s="9">
        <f>T30/'Vekst og lønnsomhet'!$Q$43*1000</f>
        <v>27.516256951260054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O31" s="26"/>
      <c r="AP31" s="26"/>
      <c r="AQ31" s="26"/>
      <c r="AR31" s="26"/>
      <c r="AS31" s="26"/>
      <c r="AT31" s="26"/>
      <c r="AU31" s="26"/>
      <c r="AV31" s="26"/>
      <c r="AW31" s="26"/>
      <c r="BD31" s="239" t="s">
        <v>376</v>
      </c>
      <c r="BE31" s="13">
        <f>AVERAGE(BE30:BJ30)</f>
        <v>1.5442150833789699E-2</v>
      </c>
      <c r="BF31" s="25"/>
      <c r="BG31" s="25"/>
      <c r="BH31" s="25"/>
      <c r="BI31" s="25"/>
      <c r="BJ31" s="187"/>
      <c r="BL31" s="251" t="s">
        <v>413</v>
      </c>
      <c r="BM31" s="255">
        <f>'Balance Sheet'!AJ20-'Balance Sheet'!AI20</f>
        <v>1228363</v>
      </c>
      <c r="BN31" s="255">
        <f>BN30-BM30</f>
        <v>991398.85324497614</v>
      </c>
      <c r="BO31" s="255">
        <f t="shared" ref="BO31:BQ31" si="124">BO30-BN30</f>
        <v>3366686.0692429198</v>
      </c>
      <c r="BP31" s="255">
        <f t="shared" si="124"/>
        <v>436202.57430149987</v>
      </c>
      <c r="BQ31" s="256">
        <f t="shared" si="124"/>
        <v>59444.770250389352</v>
      </c>
    </row>
    <row r="32" spans="1:70" ht="15" thickBot="1" x14ac:dyDescent="0.35">
      <c r="A32" s="26"/>
      <c r="B32" s="26"/>
      <c r="C32" s="51"/>
      <c r="D32" s="51"/>
      <c r="E32" s="51"/>
      <c r="F32" s="51"/>
      <c r="G32" s="51">
        <f>G33/G29</f>
        <v>0</v>
      </c>
      <c r="H32" s="51"/>
      <c r="I32" s="26"/>
      <c r="J32" t="s">
        <v>84</v>
      </c>
      <c r="K32" s="79">
        <v>23.51</v>
      </c>
      <c r="L32" s="80">
        <v>20.239999999999998</v>
      </c>
      <c r="M32" s="80">
        <v>31.7</v>
      </c>
      <c r="N32" s="80">
        <v>22.06</v>
      </c>
      <c r="O32" s="80">
        <v>17.52</v>
      </c>
      <c r="P32" s="79">
        <v>22.61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O32" s="26"/>
      <c r="AP32" s="26"/>
      <c r="AQ32" s="26"/>
      <c r="AR32" s="26"/>
      <c r="AS32" s="26"/>
      <c r="AT32" s="26"/>
      <c r="AU32" s="26"/>
      <c r="AV32" s="26"/>
      <c r="AW32" s="26"/>
      <c r="BD32" s="251" t="s">
        <v>368</v>
      </c>
      <c r="BE32" s="252">
        <f>CORREL(BE28:BJ28,BE29:BJ29)</f>
        <v>-0.82031633019964134</v>
      </c>
      <c r="BF32" s="171"/>
      <c r="BG32" s="171"/>
      <c r="BH32" s="171"/>
      <c r="BI32" s="171"/>
      <c r="BJ32" s="240"/>
      <c r="BM32" s="10"/>
      <c r="BN32" s="10"/>
      <c r="BO32" s="10"/>
      <c r="BP32" s="10"/>
      <c r="BQ32" s="10"/>
    </row>
    <row r="33" spans="1:69" ht="15" thickBot="1" x14ac:dyDescent="0.35">
      <c r="A33" s="35"/>
      <c r="B33" s="35"/>
      <c r="C33" s="51"/>
      <c r="D33" s="51"/>
      <c r="E33" s="51"/>
      <c r="F33" s="51"/>
      <c r="G33" s="51"/>
      <c r="H33" s="51"/>
      <c r="I33" s="26"/>
      <c r="V33" s="26"/>
      <c r="W33" s="68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O33" s="26" t="s">
        <v>371</v>
      </c>
      <c r="AP33" s="27">
        <f>AP4+SUM(AP6:AP8)</f>
        <v>0.73490085177834219</v>
      </c>
      <c r="AQ33" s="27">
        <f t="shared" ref="AQ33:AV33" si="125">AQ4+SUM(AQ6:AQ8)</f>
        <v>0.66933213450605411</v>
      </c>
      <c r="AR33" s="27">
        <f t="shared" si="125"/>
        <v>0.6518783159418946</v>
      </c>
      <c r="AS33" s="27">
        <f t="shared" si="125"/>
        <v>0.69075583433959098</v>
      </c>
      <c r="AT33" s="27">
        <f t="shared" si="125"/>
        <v>0.70660068534435394</v>
      </c>
      <c r="AU33" s="27">
        <f t="shared" si="125"/>
        <v>0.75205160614453193</v>
      </c>
      <c r="AV33" s="27">
        <f t="shared" si="125"/>
        <v>0.70076434166954216</v>
      </c>
      <c r="AW33" s="27">
        <f>AW4+SUM(AW6:AW8)</f>
        <v>0.70064708294382483</v>
      </c>
      <c r="AX33" s="27">
        <f t="shared" ref="AX33:AY33" si="126">AX4+SUM(AX6:AX8)</f>
        <v>0.70063713681180761</v>
      </c>
      <c r="AY33" s="27">
        <f t="shared" si="126"/>
        <v>0.70063584205210838</v>
      </c>
      <c r="BL33" t="s">
        <v>410</v>
      </c>
    </row>
    <row r="34" spans="1:69" x14ac:dyDescent="0.3">
      <c r="A34" s="73" t="s">
        <v>110</v>
      </c>
      <c r="B34" s="73"/>
      <c r="C34" s="51"/>
      <c r="D34" s="51"/>
      <c r="E34" s="51"/>
      <c r="F34" s="51"/>
      <c r="G34" s="51"/>
      <c r="H34" s="51"/>
      <c r="I34" s="26"/>
      <c r="J34" s="237"/>
      <c r="K34" s="238">
        <v>2016</v>
      </c>
      <c r="L34" s="238">
        <v>2017</v>
      </c>
      <c r="M34" s="238">
        <v>2018</v>
      </c>
      <c r="N34" s="238">
        <v>2019</v>
      </c>
      <c r="O34" s="238">
        <v>2020</v>
      </c>
      <c r="P34" s="238">
        <v>2021</v>
      </c>
      <c r="Q34" s="241" t="s">
        <v>353</v>
      </c>
      <c r="R34" s="241" t="s">
        <v>354</v>
      </c>
      <c r="S34" s="241" t="s">
        <v>355</v>
      </c>
      <c r="T34" s="242" t="s">
        <v>356</v>
      </c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O34" s="26"/>
      <c r="AP34" s="26"/>
      <c r="AQ34" s="26"/>
      <c r="AR34" s="26"/>
      <c r="AS34" s="26"/>
      <c r="AT34" s="27">
        <f>AVERAGE(AP33:AU33)</f>
        <v>0.70091990467579457</v>
      </c>
      <c r="AU34" s="26"/>
      <c r="AV34" s="26"/>
      <c r="AW34" s="26"/>
      <c r="BD34" s="237"/>
      <c r="BE34" s="241">
        <f t="shared" ref="BE34:BI35" si="127">BE21</f>
        <v>2021</v>
      </c>
      <c r="BF34" s="241" t="str">
        <f t="shared" si="127"/>
        <v>2022e</v>
      </c>
      <c r="BG34" s="241" t="str">
        <f t="shared" si="127"/>
        <v>2023e</v>
      </c>
      <c r="BH34" s="241" t="str">
        <f t="shared" si="127"/>
        <v>2024e</v>
      </c>
      <c r="BI34" s="242" t="str">
        <f t="shared" si="127"/>
        <v>2025e</v>
      </c>
      <c r="BL34" s="237"/>
      <c r="BM34" s="241">
        <f>BM24</f>
        <v>2021</v>
      </c>
      <c r="BN34" s="241" t="str">
        <f>BN24</f>
        <v>2022e</v>
      </c>
      <c r="BO34" s="241" t="str">
        <f>BO24</f>
        <v>2023e</v>
      </c>
      <c r="BP34" s="241" t="str">
        <f>BP24</f>
        <v>2024e</v>
      </c>
      <c r="BQ34" s="242" t="str">
        <f>BQ24</f>
        <v>2025e</v>
      </c>
    </row>
    <row r="35" spans="1:69" x14ac:dyDescent="0.3">
      <c r="A35" s="26" t="s">
        <v>82</v>
      </c>
      <c r="B35" s="26"/>
      <c r="C35" s="51">
        <v>13910</v>
      </c>
      <c r="D35" s="51">
        <v>23816</v>
      </c>
      <c r="E35" s="51">
        <v>10812</v>
      </c>
      <c r="F35" s="51">
        <v>56452</v>
      </c>
      <c r="G35" s="51">
        <v>29272</v>
      </c>
      <c r="H35" s="51">
        <v>51404</v>
      </c>
      <c r="I35" s="26"/>
      <c r="J35" s="239" t="s">
        <v>359</v>
      </c>
      <c r="K35" s="51">
        <v>115600</v>
      </c>
      <c r="L35" s="51">
        <v>135200</v>
      </c>
      <c r="M35" s="51">
        <v>142500</v>
      </c>
      <c r="N35" s="51">
        <v>153100</v>
      </c>
      <c r="O35" s="51">
        <v>161500</v>
      </c>
      <c r="P35" s="51">
        <f>110700+59800+11500</f>
        <v>182000</v>
      </c>
      <c r="Q35" s="16">
        <f>P35*(1+Q36)</f>
        <v>199462.21953369977</v>
      </c>
      <c r="R35" s="16">
        <f t="shared" ref="R35:T35" si="128">Q35*(1+R36)</f>
        <v>218599.87374346069</v>
      </c>
      <c r="S35" s="16">
        <f t="shared" si="128"/>
        <v>239573.71432229236</v>
      </c>
      <c r="T35" s="246">
        <f t="shared" si="128"/>
        <v>262559.91648712615</v>
      </c>
      <c r="V35" s="183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O35" s="26"/>
      <c r="AP35" s="26"/>
      <c r="AQ35" s="26"/>
      <c r="AR35" s="26"/>
      <c r="AS35" s="26"/>
      <c r="AT35" s="26"/>
      <c r="AU35" s="26"/>
      <c r="AV35" s="26"/>
      <c r="AW35" s="26"/>
      <c r="BD35" s="239" t="s">
        <v>378</v>
      </c>
      <c r="BE35" s="16">
        <f t="shared" si="127"/>
        <v>15043945</v>
      </c>
      <c r="BF35" s="16">
        <f t="shared" si="127"/>
        <v>18208232.978137217</v>
      </c>
      <c r="BG35" s="16">
        <f t="shared" si="127"/>
        <v>26711107.460952878</v>
      </c>
      <c r="BH35" s="16">
        <f t="shared" si="127"/>
        <v>27812777.073766161</v>
      </c>
      <c r="BI35" s="246">
        <f t="shared" si="127"/>
        <v>27962910.293705057</v>
      </c>
      <c r="BL35" s="239" t="s">
        <v>443</v>
      </c>
      <c r="BM35" s="16">
        <f>'Balance Sheet'!AJ12</f>
        <v>14281830</v>
      </c>
      <c r="BN35" s="16">
        <f>'Balance Sheet'!AK12</f>
        <v>14509983.652401142</v>
      </c>
      <c r="BO35" s="16">
        <f>'Balance Sheet'!AL12</f>
        <v>15364746.980813598</v>
      </c>
      <c r="BP35" s="16">
        <f>'Balance Sheet'!AM12</f>
        <v>16302638.769797156</v>
      </c>
      <c r="BQ35" s="246">
        <f>'Balance Sheet'!AN12</f>
        <v>17331743.527340423</v>
      </c>
    </row>
    <row r="36" spans="1:69" ht="15" thickBot="1" x14ac:dyDescent="0.35">
      <c r="A36" s="26" t="s">
        <v>83</v>
      </c>
      <c r="B36" s="26"/>
      <c r="C36" s="51">
        <v>2637079</v>
      </c>
      <c r="D36" s="51">
        <v>2273983</v>
      </c>
      <c r="E36" s="51">
        <v>3568413</v>
      </c>
      <c r="F36" s="51">
        <v>2488035</v>
      </c>
      <c r="G36" s="51">
        <v>1979018</v>
      </c>
      <c r="H36" s="51">
        <v>2616716</v>
      </c>
      <c r="I36" s="26"/>
      <c r="J36" s="239" t="s">
        <v>360</v>
      </c>
      <c r="L36" s="11">
        <f>(L35-K35)/K35</f>
        <v>0.16955017301038061</v>
      </c>
      <c r="M36" s="11">
        <f t="shared" ref="M36:P36" si="129">(M35-L35)/L35</f>
        <v>5.3994082840236685E-2</v>
      </c>
      <c r="N36" s="11">
        <f t="shared" si="129"/>
        <v>7.4385964912280708E-2</v>
      </c>
      <c r="O36" s="11">
        <f t="shared" si="129"/>
        <v>5.4866100587851074E-2</v>
      </c>
      <c r="P36" s="11">
        <f t="shared" si="129"/>
        <v>0.12693498452012383</v>
      </c>
      <c r="Q36" s="13">
        <f>AVERAGE(L36:P36)</f>
        <v>9.5946261174174569E-2</v>
      </c>
      <c r="R36" s="13">
        <f>Q36</f>
        <v>9.5946261174174569E-2</v>
      </c>
      <c r="S36" s="13">
        <f t="shared" ref="S36:T36" si="130">R36</f>
        <v>9.5946261174174569E-2</v>
      </c>
      <c r="T36" s="245">
        <f t="shared" si="130"/>
        <v>9.5946261174174569E-2</v>
      </c>
      <c r="V36" s="34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O36" s="26"/>
      <c r="AP36" s="26"/>
      <c r="AQ36" s="26"/>
      <c r="AR36" s="26"/>
      <c r="AS36" s="26"/>
      <c r="AT36" s="26"/>
      <c r="AU36" s="26"/>
      <c r="AV36" s="26"/>
      <c r="AW36" s="26"/>
      <c r="BD36" s="251" t="s">
        <v>394</v>
      </c>
      <c r="BE36" s="255">
        <f>AU7*BE35</f>
        <v>2442610</v>
      </c>
      <c r="BF36" s="255">
        <f>AV7*BF35</f>
        <v>2687261.0362767386</v>
      </c>
      <c r="BG36" s="255">
        <f>AW7*BG35</f>
        <v>3942157.2868606243</v>
      </c>
      <c r="BH36" s="255">
        <f>AX7*BH35</f>
        <v>4104747.1344816363</v>
      </c>
      <c r="BI36" s="256">
        <f>AY7*BI35</f>
        <v>4126904.5372717362</v>
      </c>
      <c r="BL36" s="239" t="s">
        <v>405</v>
      </c>
      <c r="BM36" s="10">
        <f>BM26</f>
        <v>803136</v>
      </c>
      <c r="BN36" s="10">
        <f>BN26</f>
        <v>1072726.7070951653</v>
      </c>
      <c r="BO36" s="10">
        <f>BO26</f>
        <v>1177052.8015942702</v>
      </c>
      <c r="BP36" s="10">
        <f>BP26</f>
        <v>1291524.941606597</v>
      </c>
      <c r="BQ36" s="272">
        <f>BQ26</f>
        <v>1417129.8624264228</v>
      </c>
    </row>
    <row r="37" spans="1:69" ht="15" thickBot="1" x14ac:dyDescent="0.35">
      <c r="A37" s="26"/>
      <c r="B37" s="26"/>
      <c r="C37" s="49"/>
      <c r="D37" s="77"/>
      <c r="E37" s="77"/>
      <c r="F37" s="77"/>
      <c r="G37" s="49"/>
      <c r="H37" s="49"/>
      <c r="I37" s="26"/>
      <c r="J37" s="239" t="s">
        <v>361</v>
      </c>
      <c r="K37" s="24"/>
      <c r="L37" s="24"/>
      <c r="M37" s="24"/>
      <c r="N37" s="24"/>
      <c r="O37" s="24"/>
      <c r="P37" s="24"/>
      <c r="Q37" s="259">
        <v>69</v>
      </c>
      <c r="R37" s="259">
        <v>92.36</v>
      </c>
      <c r="S37" s="259">
        <v>87.75</v>
      </c>
      <c r="T37" s="247">
        <v>80.5</v>
      </c>
      <c r="U37" t="s">
        <v>363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O37" s="26"/>
      <c r="AP37" s="26"/>
      <c r="AQ37" s="26"/>
      <c r="AR37" s="26"/>
      <c r="AS37" s="26"/>
      <c r="AU37" s="26"/>
      <c r="AV37" s="26"/>
      <c r="AW37" s="26"/>
      <c r="BL37" s="251" t="s">
        <v>412</v>
      </c>
      <c r="BM37" s="255">
        <f>(BM35-'Balance Sheet'!AI12-BM36)</f>
        <v>2077777</v>
      </c>
      <c r="BN37" s="255">
        <f>(BN35-'Balance Sheet'!AJ12-BN36)</f>
        <v>-844573.05469402345</v>
      </c>
      <c r="BO37" s="255">
        <f>(BO35-'Balance Sheet'!AK12-BO36)</f>
        <v>-322289.47318181372</v>
      </c>
      <c r="BP37" s="255">
        <f>(BP35-'Balance Sheet'!AL12-BP36)</f>
        <v>-353633.15262303967</v>
      </c>
      <c r="BQ37" s="256">
        <f>(BQ35-'Balance Sheet'!AM12-BQ36)</f>
        <v>-388025.10488315509</v>
      </c>
    </row>
    <row r="38" spans="1:69" x14ac:dyDescent="0.3">
      <c r="A38" s="26"/>
      <c r="B38" s="26"/>
      <c r="C38" s="49"/>
      <c r="D38" s="77"/>
      <c r="E38" s="77"/>
      <c r="F38" s="77"/>
      <c r="G38" s="77"/>
      <c r="H38" s="49"/>
      <c r="I38" s="26"/>
      <c r="J38" s="239" t="s">
        <v>362</v>
      </c>
      <c r="K38">
        <v>55</v>
      </c>
      <c r="L38">
        <v>58</v>
      </c>
      <c r="M38">
        <v>68</v>
      </c>
      <c r="N38">
        <v>63</v>
      </c>
      <c r="O38">
        <v>61</v>
      </c>
      <c r="P38" s="260">
        <v>57.92</v>
      </c>
      <c r="Q38" s="261"/>
      <c r="R38" s="24"/>
      <c r="S38" s="24"/>
      <c r="T38" s="248"/>
      <c r="U38" t="s">
        <v>365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1:69" ht="15" thickBot="1" x14ac:dyDescent="0.35">
      <c r="A39" s="26" t="s">
        <v>84</v>
      </c>
      <c r="B39" s="26"/>
      <c r="I39" s="26"/>
      <c r="J39" s="239" t="s">
        <v>364</v>
      </c>
      <c r="K39" s="269">
        <f>K38*K35</f>
        <v>6358000</v>
      </c>
      <c r="L39" s="269">
        <f t="shared" ref="L39:O39" si="131">L38*L35</f>
        <v>7841600</v>
      </c>
      <c r="M39" s="269">
        <f t="shared" si="131"/>
        <v>9690000</v>
      </c>
      <c r="N39" s="269">
        <f t="shared" si="131"/>
        <v>9645300</v>
      </c>
      <c r="O39" s="269">
        <f t="shared" si="131"/>
        <v>9851500</v>
      </c>
      <c r="P39" s="269">
        <f>P38*P35</f>
        <v>10541440</v>
      </c>
      <c r="Q39" s="10">
        <f>Q35*Q37</f>
        <v>13762893.147825284</v>
      </c>
      <c r="R39" s="10">
        <f t="shared" ref="R39:T39" si="132">R35*R37</f>
        <v>20189884.33894603</v>
      </c>
      <c r="S39" s="10">
        <f t="shared" si="132"/>
        <v>21022593.431781154</v>
      </c>
      <c r="T39" s="10">
        <f t="shared" si="132"/>
        <v>21136073.277213655</v>
      </c>
      <c r="V39" s="27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O39" s="26" t="s">
        <v>370</v>
      </c>
      <c r="AP39" s="271">
        <f>-K17/'Balance Sheet'!AE9</f>
        <v>0.11410916003138782</v>
      </c>
      <c r="AQ39" s="271">
        <f>-L17/'Balance Sheet'!AF9</f>
        <v>0.11503813003326148</v>
      </c>
      <c r="AR39" s="271">
        <f>-M17/'Balance Sheet'!AG9</f>
        <v>0.13581494031724994</v>
      </c>
      <c r="AS39" s="271">
        <f>-N17/'Balance Sheet'!AH9</f>
        <v>0.16403202712360246</v>
      </c>
      <c r="AT39" s="271">
        <f>-O17/'Balance Sheet'!AI9</f>
        <v>0.14061362312181358</v>
      </c>
      <c r="AU39" s="271">
        <f>-P17/'Balance Sheet'!AJ9</f>
        <v>0.11259053732340088</v>
      </c>
      <c r="AV39" s="271">
        <f>-Q17/'Balance Sheet'!AK9</f>
        <v>0.12205260922092752</v>
      </c>
      <c r="AW39" s="271">
        <f>-R17/'Balance Sheet'!AL9</f>
        <v>0.12205260922092752</v>
      </c>
      <c r="AX39" s="271">
        <f>-S17/'Balance Sheet'!AM9</f>
        <v>0.12205260922092753</v>
      </c>
      <c r="AY39" s="271">
        <f>-T17/'Balance Sheet'!AN9</f>
        <v>0.12205260922092752</v>
      </c>
      <c r="BD39" t="s">
        <v>395</v>
      </c>
    </row>
    <row r="40" spans="1:69" x14ac:dyDescent="0.3">
      <c r="A40" s="26" t="s">
        <v>85</v>
      </c>
      <c r="B40" s="26"/>
      <c r="C40" s="79">
        <v>23.43</v>
      </c>
      <c r="D40" s="80">
        <v>20.18</v>
      </c>
      <c r="E40" s="80">
        <v>31.6</v>
      </c>
      <c r="F40" s="80">
        <v>22.03</v>
      </c>
      <c r="G40" s="80">
        <v>17.489999999999998</v>
      </c>
      <c r="H40" s="79">
        <v>22.57</v>
      </c>
      <c r="I40" s="26"/>
      <c r="J40" s="239" t="s">
        <v>366</v>
      </c>
      <c r="K40" s="270">
        <f>K7</f>
        <v>9029814</v>
      </c>
      <c r="L40" s="270">
        <f t="shared" ref="L40:O40" si="133">L7</f>
        <v>10817238</v>
      </c>
      <c r="M40" s="270">
        <f t="shared" si="133"/>
        <v>11342554</v>
      </c>
      <c r="N40" s="270">
        <f t="shared" si="133"/>
        <v>12237589</v>
      </c>
      <c r="O40" s="270">
        <f t="shared" si="133"/>
        <v>12912341</v>
      </c>
      <c r="P40" s="270">
        <f>P7</f>
        <v>15043945</v>
      </c>
      <c r="Q40" s="269">
        <f>Q39/$U$41</f>
        <v>18208232.978137217</v>
      </c>
      <c r="R40" s="269">
        <f t="shared" ref="R40:T40" si="134">R39/$U$41</f>
        <v>26711107.460952878</v>
      </c>
      <c r="S40" s="269">
        <f t="shared" si="134"/>
        <v>27812777.073766161</v>
      </c>
      <c r="T40" s="269">
        <f t="shared" si="134"/>
        <v>27962910.293705057</v>
      </c>
      <c r="V40" s="27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O40" s="26"/>
      <c r="AP40" s="26"/>
      <c r="AQ40" s="26"/>
      <c r="AR40" s="26"/>
      <c r="AS40" s="26"/>
      <c r="AT40" s="26"/>
      <c r="AU40" s="165">
        <f>AVERAGE(AP39:AU39)</f>
        <v>0.13036640299178601</v>
      </c>
      <c r="AV40" s="26"/>
      <c r="AW40" s="26"/>
      <c r="BD40" s="237"/>
      <c r="BE40" s="238">
        <f>AP$2</f>
        <v>2016</v>
      </c>
      <c r="BF40" s="238">
        <f t="shared" ref="BF40" si="135">AQ$2</f>
        <v>2017</v>
      </c>
      <c r="BG40" s="238">
        <f t="shared" ref="BG40" si="136">AR$2</f>
        <v>2018</v>
      </c>
      <c r="BH40" s="238">
        <f t="shared" ref="BH40" si="137">AS$2</f>
        <v>2019</v>
      </c>
      <c r="BI40" s="238">
        <f t="shared" ref="BI40" si="138">AT$2</f>
        <v>2020</v>
      </c>
      <c r="BJ40" s="276">
        <f t="shared" ref="BJ40" si="139">AU$2</f>
        <v>2021</v>
      </c>
    </row>
    <row r="41" spans="1:69" x14ac:dyDescent="0.3">
      <c r="A41" s="49"/>
      <c r="B41" s="49"/>
      <c r="C41" s="49"/>
      <c r="D41" s="49"/>
      <c r="E41" s="49"/>
      <c r="F41" s="49"/>
      <c r="G41" s="49"/>
      <c r="H41" s="49"/>
      <c r="I41" s="26"/>
      <c r="J41" s="239" t="s">
        <v>367</v>
      </c>
      <c r="K41" s="11">
        <f>K39/K40</f>
        <v>0.70411195623741529</v>
      </c>
      <c r="L41" s="11">
        <f t="shared" ref="L41:P41" si="140">L39/L40</f>
        <v>0.72491702595431473</v>
      </c>
      <c r="M41" s="11">
        <f t="shared" si="140"/>
        <v>0.8543049475453236</v>
      </c>
      <c r="N41" s="11">
        <f t="shared" si="140"/>
        <v>0.78816995733391604</v>
      </c>
      <c r="O41" s="11">
        <f t="shared" si="140"/>
        <v>0.76295227952855338</v>
      </c>
      <c r="P41" s="11">
        <f t="shared" si="140"/>
        <v>0.70070982046265129</v>
      </c>
      <c r="Q41" s="249"/>
      <c r="R41" s="249"/>
      <c r="S41" s="249"/>
      <c r="T41" s="250"/>
      <c r="U41" s="274">
        <f>AVERAGE(K41:P41)</f>
        <v>0.75586099784369576</v>
      </c>
      <c r="V41" s="27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O41" s="26"/>
      <c r="AP41" s="26"/>
      <c r="AQ41" s="26"/>
      <c r="AR41" s="26"/>
      <c r="AS41" s="26"/>
      <c r="AT41" s="26"/>
      <c r="AU41" s="26"/>
      <c r="AV41" s="26"/>
      <c r="AW41" s="26"/>
      <c r="BD41" s="239" t="s">
        <v>374</v>
      </c>
      <c r="BE41" s="16">
        <f t="shared" ref="BE41:BJ41" si="141">BE28</f>
        <v>9029814</v>
      </c>
      <c r="BF41" s="16">
        <f t="shared" si="141"/>
        <v>10817238</v>
      </c>
      <c r="BG41" s="16">
        <f t="shared" si="141"/>
        <v>11342554</v>
      </c>
      <c r="BH41" s="16">
        <f t="shared" si="141"/>
        <v>12237589</v>
      </c>
      <c r="BI41" s="16">
        <f t="shared" si="141"/>
        <v>12912341</v>
      </c>
      <c r="BJ41" s="246">
        <f t="shared" si="141"/>
        <v>15043945</v>
      </c>
    </row>
    <row r="42" spans="1:69" ht="15" thickBot="1" x14ac:dyDescent="0.35">
      <c r="A42" s="49"/>
      <c r="B42" s="49"/>
      <c r="C42" s="49"/>
      <c r="D42" s="49"/>
      <c r="E42" s="49"/>
      <c r="F42" s="49"/>
      <c r="G42" s="49"/>
      <c r="H42" s="49"/>
      <c r="I42" s="26"/>
      <c r="J42" s="251" t="s">
        <v>368</v>
      </c>
      <c r="K42" s="252">
        <f>CORREL(K39:P39,K40:P40)</f>
        <v>0.89960556467629516</v>
      </c>
      <c r="L42" s="171"/>
      <c r="M42" s="171"/>
      <c r="N42" s="171"/>
      <c r="O42" s="171"/>
      <c r="P42" s="255"/>
      <c r="Q42" s="171"/>
      <c r="R42" s="171"/>
      <c r="S42" s="171"/>
      <c r="T42" s="240"/>
      <c r="V42" s="27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O42" s="26"/>
      <c r="AP42" s="26"/>
      <c r="AQ42" s="26"/>
      <c r="AR42" s="26"/>
      <c r="AS42" s="26"/>
      <c r="AT42" s="26"/>
      <c r="AU42" s="26"/>
      <c r="AV42" s="26"/>
      <c r="AW42" s="26"/>
      <c r="BD42" s="239" t="s">
        <v>395</v>
      </c>
      <c r="BE42" s="281">
        <v>0</v>
      </c>
      <c r="BF42" s="10">
        <f>BF41*AQ8</f>
        <v>3926</v>
      </c>
      <c r="BG42" s="281">
        <v>0</v>
      </c>
      <c r="BH42" s="10">
        <f>BH41*AS8</f>
        <v>1642</v>
      </c>
      <c r="BI42" s="10">
        <f>BI41*AT8</f>
        <v>31121</v>
      </c>
      <c r="BJ42" s="272">
        <f>BJ41*AU8</f>
        <v>3554</v>
      </c>
    </row>
    <row r="43" spans="1:69" ht="15" thickBot="1" x14ac:dyDescent="0.35">
      <c r="A43" s="49"/>
      <c r="B43" s="49"/>
      <c r="C43" s="49"/>
      <c r="D43" s="49"/>
      <c r="E43" s="49"/>
      <c r="F43" s="49"/>
      <c r="G43" s="49"/>
      <c r="H43" s="49"/>
      <c r="I43" s="26"/>
      <c r="V43" s="10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O43" s="26"/>
      <c r="AP43" s="26"/>
      <c r="AQ43" s="26"/>
      <c r="AR43" s="26"/>
      <c r="AS43" s="26"/>
      <c r="AT43" s="26"/>
      <c r="AU43" s="26"/>
      <c r="AV43" s="26"/>
      <c r="AW43" s="26"/>
      <c r="BD43" s="251" t="s">
        <v>396</v>
      </c>
      <c r="BE43" s="255">
        <f>AVERAGE(BE42:BJ42)</f>
        <v>6707.166666666667</v>
      </c>
      <c r="BF43" s="278"/>
      <c r="BG43" s="278"/>
      <c r="BH43" s="278"/>
      <c r="BI43" s="278"/>
      <c r="BJ43" s="279"/>
    </row>
    <row r="44" spans="1:69" x14ac:dyDescent="0.3">
      <c r="A44" s="49"/>
      <c r="B44" s="49"/>
      <c r="C44" s="49"/>
      <c r="D44" s="49"/>
      <c r="E44" s="49"/>
      <c r="F44" s="49"/>
      <c r="G44" s="49"/>
      <c r="H44" s="49"/>
      <c r="I44" s="26"/>
      <c r="J44" s="253" t="s">
        <v>416</v>
      </c>
      <c r="K44" s="254"/>
      <c r="L44" s="254"/>
      <c r="M44" s="254"/>
      <c r="N44" s="254"/>
      <c r="O44" s="254"/>
      <c r="P44" s="254"/>
      <c r="Q44" s="254"/>
      <c r="R44" s="254">
        <v>4500</v>
      </c>
      <c r="S44" s="254">
        <v>4500</v>
      </c>
      <c r="T44" s="285">
        <v>4500</v>
      </c>
      <c r="V44" s="10"/>
      <c r="W44" s="10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1:69" ht="15" thickBot="1" x14ac:dyDescent="0.35">
      <c r="A45" s="26"/>
      <c r="B45" s="26"/>
      <c r="C45" s="49"/>
      <c r="D45" s="49"/>
      <c r="E45" s="49"/>
      <c r="F45" s="49"/>
      <c r="G45" s="49"/>
      <c r="H45" s="49"/>
      <c r="I45" s="26"/>
      <c r="J45" s="239" t="s">
        <v>415</v>
      </c>
      <c r="Q45" s="10"/>
      <c r="R45" s="10">
        <f>R40-R46</f>
        <v>26295487.460952878</v>
      </c>
      <c r="S45" s="10">
        <f t="shared" ref="S45:T45" si="142">S40-S46</f>
        <v>27417902.073766161</v>
      </c>
      <c r="T45" s="272">
        <f t="shared" si="142"/>
        <v>27600660.293705057</v>
      </c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O45" s="26"/>
      <c r="AP45" s="26"/>
      <c r="AQ45" s="26"/>
      <c r="AR45" s="26"/>
      <c r="AS45" s="26"/>
      <c r="AT45" s="26"/>
      <c r="AU45" s="26"/>
      <c r="AV45" s="26"/>
      <c r="AW45" s="26"/>
      <c r="BD45" t="s">
        <v>397</v>
      </c>
      <c r="BF45" s="25"/>
      <c r="BG45" s="25"/>
      <c r="BH45" s="25"/>
      <c r="BI45" s="25"/>
    </row>
    <row r="46" spans="1:69" ht="15" thickBot="1" x14ac:dyDescent="0.35">
      <c r="A46" s="26"/>
      <c r="B46" s="26"/>
      <c r="C46" s="49"/>
      <c r="D46" s="49"/>
      <c r="E46" s="49"/>
      <c r="F46" s="49"/>
      <c r="G46" s="49"/>
      <c r="H46" s="49"/>
      <c r="I46" s="26"/>
      <c r="J46" s="362" t="s">
        <v>414</v>
      </c>
      <c r="K46" s="363"/>
      <c r="L46" s="363"/>
      <c r="M46" s="363"/>
      <c r="N46" s="363"/>
      <c r="O46" s="363"/>
      <c r="P46" s="363"/>
      <c r="Q46" s="363"/>
      <c r="R46" s="364">
        <f>R44*R37</f>
        <v>415620</v>
      </c>
      <c r="S46" s="364">
        <f t="shared" ref="S46:T46" si="143">S44*S37</f>
        <v>394875</v>
      </c>
      <c r="T46" s="365">
        <f t="shared" si="143"/>
        <v>362250</v>
      </c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26"/>
      <c r="AR46" s="26"/>
      <c r="AS46" s="26"/>
      <c r="AT46" s="26"/>
      <c r="AU46" s="26"/>
      <c r="AV46" s="26"/>
      <c r="AW46" s="26"/>
      <c r="BD46" s="237"/>
      <c r="BE46" s="238">
        <f>AP$2</f>
        <v>2016</v>
      </c>
      <c r="BF46" s="238">
        <f t="shared" ref="BF46" si="144">AQ$2</f>
        <v>2017</v>
      </c>
      <c r="BG46" s="238">
        <f t="shared" ref="BG46" si="145">AR$2</f>
        <v>2018</v>
      </c>
      <c r="BH46" s="238">
        <f t="shared" ref="BH46" si="146">AS$2</f>
        <v>2019</v>
      </c>
      <c r="BI46" s="238">
        <f t="shared" ref="BI46" si="147">AT$2</f>
        <v>2020</v>
      </c>
      <c r="BJ46" s="276">
        <f t="shared" ref="BJ46" si="148">AU$2</f>
        <v>2021</v>
      </c>
    </row>
    <row r="47" spans="1:69" x14ac:dyDescent="0.3">
      <c r="A47" s="26"/>
      <c r="B47" s="26"/>
      <c r="C47" s="49"/>
      <c r="D47" s="49"/>
      <c r="E47" s="49"/>
      <c r="F47" s="49"/>
      <c r="J47" t="s">
        <v>509</v>
      </c>
      <c r="P47" s="4">
        <f>P18</f>
        <v>3798408</v>
      </c>
      <c r="Q47" s="4">
        <f t="shared" ref="Q47:T47" si="149">Q18</f>
        <v>4991795.1251389626</v>
      </c>
      <c r="R47" s="4">
        <f t="shared" si="149"/>
        <v>7644432.4316019826</v>
      </c>
      <c r="S47" s="4">
        <f t="shared" si="149"/>
        <v>7887164.5298289312</v>
      </c>
      <c r="T47" s="4">
        <f t="shared" si="149"/>
        <v>7810238.6520170495</v>
      </c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O47" s="26"/>
      <c r="AP47" s="26"/>
      <c r="AQ47" s="26"/>
      <c r="AR47" s="26"/>
      <c r="AS47" s="26"/>
      <c r="AT47" s="26"/>
      <c r="AU47" s="26"/>
      <c r="AV47" s="26"/>
      <c r="AW47" s="26"/>
      <c r="BD47" s="239" t="s">
        <v>374</v>
      </c>
      <c r="BE47" s="16">
        <f>BE41</f>
        <v>9029814</v>
      </c>
      <c r="BF47" s="16">
        <f t="shared" ref="BF47:BJ47" si="150">BF41</f>
        <v>10817238</v>
      </c>
      <c r="BG47" s="16">
        <f t="shared" si="150"/>
        <v>11342554</v>
      </c>
      <c r="BH47" s="16">
        <f t="shared" si="150"/>
        <v>12237589</v>
      </c>
      <c r="BI47" s="16">
        <f t="shared" si="150"/>
        <v>12912341</v>
      </c>
      <c r="BJ47" s="246">
        <f t="shared" si="150"/>
        <v>15043945</v>
      </c>
    </row>
    <row r="48" spans="1:69" x14ac:dyDescent="0.3">
      <c r="A48" s="26"/>
      <c r="B48" s="26"/>
      <c r="C48" s="49"/>
      <c r="D48" s="49"/>
      <c r="E48" s="49"/>
      <c r="F48" s="49"/>
      <c r="J48" t="s">
        <v>510</v>
      </c>
      <c r="R48" s="3">
        <f>R18*$W$60</f>
        <v>2675551.3510606936</v>
      </c>
      <c r="S48" s="3">
        <f>S18*$W$60</f>
        <v>2760507.5854401258</v>
      </c>
      <c r="T48" s="3">
        <f>T18*$W$60</f>
        <v>2733583.528205967</v>
      </c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O48" s="26"/>
      <c r="AP48" s="26"/>
      <c r="AQ48" s="26"/>
      <c r="AR48" s="26"/>
      <c r="AS48" s="26"/>
      <c r="AT48" s="26"/>
      <c r="AU48" s="26"/>
      <c r="AV48" s="26"/>
      <c r="AW48" s="26"/>
      <c r="BD48" s="239" t="str">
        <f>BD45</f>
        <v>Inntekt fra tilknyttede selskap</v>
      </c>
      <c r="BE48" s="10">
        <f>BE47*AP10</f>
        <v>286844</v>
      </c>
      <c r="BF48" s="10">
        <f t="shared" ref="BF48:BJ48" si="151">BF47*AQ10</f>
        <v>208941</v>
      </c>
      <c r="BG48" s="10">
        <f t="shared" si="151"/>
        <v>252933</v>
      </c>
      <c r="BH48" s="10">
        <f t="shared" si="151"/>
        <v>118654.99999999999</v>
      </c>
      <c r="BI48" s="10">
        <f t="shared" si="151"/>
        <v>42208</v>
      </c>
      <c r="BJ48" s="272">
        <f t="shared" si="151"/>
        <v>94879</v>
      </c>
    </row>
    <row r="49" spans="1:62" ht="15" thickBot="1" x14ac:dyDescent="0.35">
      <c r="A49" s="26"/>
      <c r="B49" s="26"/>
      <c r="C49" s="49"/>
      <c r="D49" s="49"/>
      <c r="E49" s="49"/>
      <c r="F49" s="49"/>
      <c r="G49" s="49"/>
      <c r="H49" s="49"/>
      <c r="J49" t="s">
        <v>511</v>
      </c>
      <c r="P49" s="3">
        <f>P18*P65</f>
        <v>835649.76</v>
      </c>
      <c r="Q49" s="3">
        <f>Q18*Q65</f>
        <v>1098194.9275305718</v>
      </c>
      <c r="R49" s="3">
        <f>R18*22%</f>
        <v>1681775.1349524362</v>
      </c>
      <c r="S49" s="3">
        <f>S18*22%</f>
        <v>1735176.1965623649</v>
      </c>
      <c r="T49" s="3">
        <f>T18*22%</f>
        <v>1718252.5034437508</v>
      </c>
      <c r="V49" s="27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O49" s="26"/>
      <c r="AP49" s="26"/>
      <c r="AQ49" s="26"/>
      <c r="AR49" s="26"/>
      <c r="AS49" s="26"/>
      <c r="AT49" s="26"/>
      <c r="AU49" s="26"/>
      <c r="AV49" s="26"/>
      <c r="AW49" s="26"/>
      <c r="BD49" s="251" t="s">
        <v>396</v>
      </c>
      <c r="BE49" s="282">
        <f>AVERAGE(BE48:BJ48)</f>
        <v>167410</v>
      </c>
      <c r="BF49" s="278"/>
      <c r="BG49" s="278"/>
      <c r="BH49" s="278"/>
      <c r="BI49" s="278"/>
      <c r="BJ49" s="279"/>
    </row>
    <row r="50" spans="1:62" x14ac:dyDescent="0.3">
      <c r="A50" s="26"/>
      <c r="B50" s="26"/>
      <c r="C50" s="49"/>
      <c r="D50" s="49"/>
      <c r="E50" s="49"/>
      <c r="F50" s="49"/>
      <c r="G50" s="49"/>
      <c r="H50" s="49"/>
      <c r="I50" s="26"/>
      <c r="J50" t="s">
        <v>508</v>
      </c>
      <c r="P50" s="3">
        <f t="shared" ref="P50:Q50" si="152">SUM(P48:P49)</f>
        <v>835649.76</v>
      </c>
      <c r="Q50" s="3">
        <f t="shared" si="152"/>
        <v>1098194.9275305718</v>
      </c>
      <c r="R50" s="361">
        <f>SUM(R48:R49)</f>
        <v>4357326.4860131294</v>
      </c>
      <c r="S50" s="361">
        <f t="shared" ref="S50:T50" si="153">SUM(S48:S49)</f>
        <v>4495683.7820024909</v>
      </c>
      <c r="T50" s="361">
        <f t="shared" si="153"/>
        <v>4451836.0316497181</v>
      </c>
      <c r="V50" s="27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O50" s="26"/>
      <c r="AP50" s="26"/>
      <c r="AQ50" s="26"/>
      <c r="AR50" s="26"/>
      <c r="AS50" s="26"/>
      <c r="AT50" s="26"/>
      <c r="AU50" s="26"/>
      <c r="AV50" s="26"/>
      <c r="AW50" s="26"/>
      <c r="BF50" s="25"/>
      <c r="BG50" s="25"/>
      <c r="BH50" s="25"/>
      <c r="BI50" s="25"/>
    </row>
    <row r="51" spans="1:62" ht="15" thickBot="1" x14ac:dyDescent="0.35">
      <c r="A51" s="26"/>
      <c r="B51" s="26"/>
      <c r="C51" s="49"/>
      <c r="D51" s="49"/>
      <c r="E51" s="49"/>
      <c r="F51" s="49"/>
      <c r="G51" s="49"/>
      <c r="H51" s="49"/>
      <c r="J51" t="s">
        <v>512</v>
      </c>
      <c r="P51" s="313">
        <f>P50/P47</f>
        <v>0.22</v>
      </c>
      <c r="Q51" s="313">
        <f t="shared" ref="Q51:T51" si="154">Q50/Q47</f>
        <v>0.22</v>
      </c>
      <c r="R51" s="313">
        <f t="shared" si="154"/>
        <v>0.56999999999999995</v>
      </c>
      <c r="S51" s="313">
        <f t="shared" si="154"/>
        <v>0.57000000000000006</v>
      </c>
      <c r="T51" s="313">
        <f t="shared" si="154"/>
        <v>0.56999999999999995</v>
      </c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O51" s="26"/>
      <c r="AP51" s="26"/>
      <c r="AQ51" s="26"/>
      <c r="AR51" s="26"/>
      <c r="AS51" s="26"/>
      <c r="AT51" s="26"/>
      <c r="AU51" s="26"/>
      <c r="AV51" s="26"/>
      <c r="AW51" s="26"/>
      <c r="BD51" t="s">
        <v>398</v>
      </c>
      <c r="BE51" s="277"/>
    </row>
    <row r="52" spans="1:62" ht="15" thickBot="1" x14ac:dyDescent="0.35">
      <c r="A52" s="26"/>
      <c r="B52" s="26"/>
      <c r="C52" s="49"/>
      <c r="D52" s="49"/>
      <c r="E52" s="49"/>
      <c r="F52" s="49"/>
      <c r="G52" s="49"/>
      <c r="H52" s="49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O52" s="26"/>
      <c r="AP52" s="26"/>
      <c r="AQ52" s="26"/>
      <c r="AR52" s="26"/>
      <c r="AS52" s="26"/>
      <c r="AT52" s="26"/>
      <c r="AU52" s="26"/>
      <c r="AV52" s="26"/>
      <c r="AW52" s="26"/>
      <c r="BD52" s="237"/>
      <c r="BE52" s="238">
        <f>AP$2</f>
        <v>2016</v>
      </c>
      <c r="BF52" s="238">
        <f t="shared" ref="BF52" si="155">AQ$2</f>
        <v>2017</v>
      </c>
      <c r="BG52" s="238">
        <f t="shared" ref="BG52" si="156">AR$2</f>
        <v>2018</v>
      </c>
      <c r="BH52" s="238">
        <f t="shared" ref="BH52" si="157">AS$2</f>
        <v>2019</v>
      </c>
      <c r="BI52" s="238">
        <f t="shared" ref="BI52" si="158">AT$2</f>
        <v>2020</v>
      </c>
      <c r="BJ52" s="276">
        <f t="shared" ref="BJ52" si="159">AU$2</f>
        <v>2021</v>
      </c>
    </row>
    <row r="53" spans="1:62" x14ac:dyDescent="0.3">
      <c r="A53" s="26"/>
      <c r="B53" s="26"/>
      <c r="C53" s="49"/>
      <c r="D53" s="49"/>
      <c r="E53" s="49"/>
      <c r="F53" s="49"/>
      <c r="G53" s="49"/>
      <c r="H53" s="49"/>
      <c r="I53" s="26"/>
      <c r="J53" s="338" t="s">
        <v>183</v>
      </c>
      <c r="K53" s="339"/>
      <c r="L53" s="339"/>
      <c r="M53" s="339"/>
      <c r="N53" s="339"/>
      <c r="O53" s="339"/>
      <c r="P53" s="339"/>
      <c r="Q53" s="339"/>
      <c r="R53" s="339"/>
      <c r="S53" s="339"/>
      <c r="T53" s="340"/>
      <c r="U53" s="26"/>
      <c r="V53" s="27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O53" s="26"/>
      <c r="AP53" s="26"/>
      <c r="AQ53" s="26"/>
      <c r="AR53" s="26"/>
      <c r="AS53" s="26"/>
      <c r="AT53" s="26"/>
      <c r="AU53" s="26"/>
      <c r="AV53" s="26"/>
      <c r="AW53" s="26"/>
      <c r="BD53" s="239" t="s">
        <v>374</v>
      </c>
      <c r="BE53" s="16">
        <f>BE47</f>
        <v>9029814</v>
      </c>
      <c r="BF53" s="16">
        <f t="shared" ref="BF53:BJ53" si="160">BF47</f>
        <v>10817238</v>
      </c>
      <c r="BG53" s="16">
        <f t="shared" si="160"/>
        <v>11342554</v>
      </c>
      <c r="BH53" s="16">
        <f t="shared" si="160"/>
        <v>12237589</v>
      </c>
      <c r="BI53" s="16">
        <f t="shared" si="160"/>
        <v>12912341</v>
      </c>
      <c r="BJ53" s="246">
        <f t="shared" si="160"/>
        <v>15043945</v>
      </c>
    </row>
    <row r="54" spans="1:62" x14ac:dyDescent="0.3">
      <c r="A54" s="26"/>
      <c r="B54" s="26"/>
      <c r="C54" s="49"/>
      <c r="D54" s="49"/>
      <c r="E54" s="49"/>
      <c r="F54" s="49"/>
      <c r="G54" s="49"/>
      <c r="H54" s="49"/>
      <c r="I54" s="26"/>
      <c r="J54" s="200"/>
      <c r="K54" s="336" t="s">
        <v>178</v>
      </c>
      <c r="L54" s="336"/>
      <c r="M54" s="336"/>
      <c r="N54" s="336"/>
      <c r="O54" s="336"/>
      <c r="P54" s="336"/>
      <c r="Q54" s="336" t="s">
        <v>179</v>
      </c>
      <c r="R54" s="336"/>
      <c r="S54" s="336"/>
      <c r="T54" s="337"/>
      <c r="U54" s="26"/>
      <c r="V54" s="27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O54" s="26"/>
      <c r="AP54" s="26"/>
      <c r="AQ54" s="26"/>
      <c r="AR54" s="26"/>
      <c r="AS54" s="26"/>
      <c r="AT54" s="26"/>
      <c r="AU54" s="26"/>
      <c r="AV54" s="26"/>
      <c r="AW54" s="26"/>
      <c r="BD54" s="239" t="str">
        <f>BD51</f>
        <v>Virkelig verdijustering</v>
      </c>
      <c r="BE54" s="16">
        <f>BE53*AP11</f>
        <v>653995</v>
      </c>
      <c r="BF54" s="281" t="s">
        <v>399</v>
      </c>
      <c r="BG54" s="16">
        <f t="shared" ref="BG54:BJ54" si="161">BG53*AR11</f>
        <v>845831</v>
      </c>
      <c r="BH54" s="281" t="s">
        <v>400</v>
      </c>
      <c r="BI54" s="281" t="s">
        <v>401</v>
      </c>
      <c r="BJ54" s="246">
        <f t="shared" si="161"/>
        <v>776543</v>
      </c>
    </row>
    <row r="55" spans="1:62" ht="15" thickBot="1" x14ac:dyDescent="0.35">
      <c r="A55" s="26"/>
      <c r="B55" s="26"/>
      <c r="C55" s="49"/>
      <c r="D55" s="49"/>
      <c r="E55" s="49"/>
      <c r="F55" s="49"/>
      <c r="G55" s="49"/>
      <c r="H55" s="49"/>
      <c r="I55" s="26"/>
      <c r="J55" s="201"/>
      <c r="K55" s="286">
        <v>2016</v>
      </c>
      <c r="L55" s="286">
        <v>2017</v>
      </c>
      <c r="M55" s="286">
        <v>2018</v>
      </c>
      <c r="N55" s="286">
        <v>2019</v>
      </c>
      <c r="O55" s="286">
        <v>2020</v>
      </c>
      <c r="P55" s="286">
        <v>2021</v>
      </c>
      <c r="Q55" s="287" t="s">
        <v>353</v>
      </c>
      <c r="R55" s="287" t="s">
        <v>354</v>
      </c>
      <c r="S55" s="287" t="s">
        <v>355</v>
      </c>
      <c r="T55" s="244" t="s">
        <v>356</v>
      </c>
      <c r="U55" s="26"/>
      <c r="V55" s="27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O55" s="26"/>
      <c r="AP55" s="26"/>
      <c r="AQ55" s="26"/>
      <c r="AR55" s="26"/>
      <c r="AS55" s="26"/>
      <c r="AT55" s="26"/>
      <c r="AU55" s="26"/>
      <c r="AV55" s="26"/>
      <c r="AW55" s="26"/>
      <c r="BD55" s="251" t="s">
        <v>396</v>
      </c>
      <c r="BE55" s="282">
        <v>282304.5</v>
      </c>
      <c r="BF55" s="278"/>
      <c r="BG55" s="278"/>
      <c r="BH55" s="278"/>
      <c r="BI55" s="278"/>
      <c r="BJ55" s="279"/>
    </row>
    <row r="56" spans="1:62" x14ac:dyDescent="0.3">
      <c r="A56" s="26"/>
      <c r="B56" s="26"/>
      <c r="C56" s="49"/>
      <c r="D56" s="49"/>
      <c r="E56" s="49"/>
      <c r="F56" s="49"/>
      <c r="G56" s="49"/>
      <c r="H56" s="49"/>
      <c r="I56" s="26"/>
      <c r="J56" s="192" t="s">
        <v>64</v>
      </c>
      <c r="K56" s="74" t="s">
        <v>55</v>
      </c>
      <c r="L56" s="75">
        <f>(L7-K7)/K7</f>
        <v>0.19794693445512831</v>
      </c>
      <c r="M56" s="75">
        <f>(M7-L7)/L7</f>
        <v>4.8562858652088453E-2</v>
      </c>
      <c r="N56" s="75">
        <f>(N7-M7)/M7</f>
        <v>7.8909476648733615E-2</v>
      </c>
      <c r="O56" s="75">
        <f>(O7-N7)/N7</f>
        <v>5.5137658242975805E-2</v>
      </c>
      <c r="P56" s="75">
        <f>(P7-O7)/O7</f>
        <v>0.16508269104727019</v>
      </c>
      <c r="Q56" s="140">
        <f>AVERAGE(L56:P56)-Q57</f>
        <v>0.1173439846612038</v>
      </c>
      <c r="R56" s="140">
        <f t="shared" ref="R56:T56" si="162">Q56-R57</f>
        <v>9.0268041775399488E-2</v>
      </c>
      <c r="S56" s="140">
        <f t="shared" si="162"/>
        <v>6.4009767667305401E-2</v>
      </c>
      <c r="T56" s="141">
        <f t="shared" si="162"/>
        <v>2.5243970430748337E-2</v>
      </c>
      <c r="U56" s="26"/>
      <c r="V56" s="27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1:62" x14ac:dyDescent="0.3">
      <c r="A57" s="26"/>
      <c r="B57" s="26"/>
      <c r="C57" s="49"/>
      <c r="D57" s="49"/>
      <c r="E57" s="49"/>
      <c r="F57" s="49"/>
      <c r="G57" s="49"/>
      <c r="H57" s="49"/>
      <c r="I57" s="26"/>
      <c r="J57" s="192" t="s">
        <v>193</v>
      </c>
      <c r="K57" s="78" t="s">
        <v>55</v>
      </c>
      <c r="L57" s="78" t="s">
        <v>55</v>
      </c>
      <c r="M57" s="27">
        <f>M56-L56</f>
        <v>-0.14938407580303986</v>
      </c>
      <c r="N57" s="27">
        <f t="shared" ref="N57:P57" si="163">N56-M56</f>
        <v>3.0346617996645162E-2</v>
      </c>
      <c r="O57" s="27">
        <f t="shared" si="163"/>
        <v>-2.3771818405757809E-2</v>
      </c>
      <c r="P57" s="27">
        <f t="shared" si="163"/>
        <v>0.10994503280429438</v>
      </c>
      <c r="Q57" s="27">
        <f>AVERAGE(M57:P57)</f>
        <v>-8.2160608519645309E-3</v>
      </c>
      <c r="R57" s="27">
        <f t="shared" ref="R57:T57" si="164">AVERAGE(N57:Q57)</f>
        <v>2.7075942885804304E-2</v>
      </c>
      <c r="S57" s="27">
        <f t="shared" si="164"/>
        <v>2.6258274108094087E-2</v>
      </c>
      <c r="T57" s="160">
        <f t="shared" si="164"/>
        <v>3.8765797236557063E-2</v>
      </c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1:62" x14ac:dyDescent="0.3">
      <c r="A58" s="26"/>
      <c r="B58" s="26"/>
      <c r="C58" s="49"/>
      <c r="D58" s="49"/>
      <c r="E58" s="49"/>
      <c r="F58" s="49"/>
      <c r="G58" s="49"/>
      <c r="H58" s="49"/>
      <c r="I58" s="26"/>
      <c r="J58" s="192" t="s">
        <v>184</v>
      </c>
      <c r="K58" s="29">
        <f t="shared" ref="K58:P58" si="165">-K8/K7</f>
        <v>0.48690803597947863</v>
      </c>
      <c r="L58" s="29">
        <f t="shared" si="165"/>
        <v>0.43656929800379729</v>
      </c>
      <c r="M58" s="29">
        <f t="shared" si="165"/>
        <v>0.40427323511089303</v>
      </c>
      <c r="N58" s="29">
        <f t="shared" si="165"/>
        <v>0.47150030941552296</v>
      </c>
      <c r="O58" s="29">
        <f t="shared" si="165"/>
        <v>0.45464854126761367</v>
      </c>
      <c r="P58" s="29">
        <f t="shared" si="165"/>
        <v>0.48710447957633451</v>
      </c>
      <c r="Q58" s="27">
        <f>AVERAGE(K58:P58)</f>
        <v>0.4568339832256067</v>
      </c>
      <c r="R58" s="27">
        <f>Q58</f>
        <v>0.4568339832256067</v>
      </c>
      <c r="S58" s="27">
        <f t="shared" ref="S58:T58" si="166">R58</f>
        <v>0.4568339832256067</v>
      </c>
      <c r="T58" s="160">
        <f t="shared" si="166"/>
        <v>0.4568339832256067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1:62" ht="15" thickBot="1" x14ac:dyDescent="0.35">
      <c r="A59" s="26"/>
      <c r="B59" s="26"/>
      <c r="C59" s="49"/>
      <c r="D59" s="49"/>
      <c r="E59" s="49"/>
      <c r="F59" s="49"/>
      <c r="G59" s="49"/>
      <c r="H59" s="49"/>
      <c r="I59" s="26"/>
      <c r="J59" s="192" t="s">
        <v>188</v>
      </c>
      <c r="K59" s="29">
        <f t="shared" ref="K59:P59" si="167">-K10/K7</f>
        <v>9.5409938676477721E-2</v>
      </c>
      <c r="L59" s="29">
        <f t="shared" si="167"/>
        <v>8.58906866983975E-2</v>
      </c>
      <c r="M59" s="29">
        <f t="shared" si="167"/>
        <v>9.1728723530873205E-2</v>
      </c>
      <c r="N59" s="29">
        <f t="shared" si="167"/>
        <v>9.8262329287247679E-2</v>
      </c>
      <c r="O59" s="29">
        <f t="shared" si="167"/>
        <v>0.10222476311615376</v>
      </c>
      <c r="P59" s="29">
        <f t="shared" si="167"/>
        <v>0.10234589397927206</v>
      </c>
      <c r="Q59" s="27">
        <f t="shared" ref="Q59:Q63" si="168">AVERAGE(K59:P59)</f>
        <v>9.597705588140365E-2</v>
      </c>
      <c r="R59" s="27">
        <f t="shared" ref="R59:T60" si="169">Q59</f>
        <v>9.597705588140365E-2</v>
      </c>
      <c r="S59" s="27">
        <f t="shared" si="169"/>
        <v>9.597705588140365E-2</v>
      </c>
      <c r="T59" s="160">
        <f t="shared" si="169"/>
        <v>9.597705588140365E-2</v>
      </c>
      <c r="U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1:62" ht="15" thickBot="1" x14ac:dyDescent="0.35">
      <c r="D60" s="3" t="s">
        <v>444</v>
      </c>
      <c r="G60" s="49"/>
      <c r="H60" s="49"/>
      <c r="I60" s="26"/>
      <c r="J60" s="192" t="s">
        <v>185</v>
      </c>
      <c r="K60" s="29">
        <f t="shared" ref="K60:P60" si="170">-K11/K7</f>
        <v>0.15258287712238591</v>
      </c>
      <c r="L60" s="29">
        <f t="shared" si="170"/>
        <v>0.14650921057667401</v>
      </c>
      <c r="M60" s="29">
        <f t="shared" si="170"/>
        <v>0.15587635730012836</v>
      </c>
      <c r="N60" s="29">
        <f t="shared" si="170"/>
        <v>0.12085901888027127</v>
      </c>
      <c r="O60" s="29">
        <f t="shared" si="170"/>
        <v>0.14731720607440588</v>
      </c>
      <c r="P60" s="29">
        <f t="shared" si="170"/>
        <v>0.162364991363635</v>
      </c>
      <c r="Q60" s="27">
        <f t="shared" si="168"/>
        <v>0.14758494355291676</v>
      </c>
      <c r="R60" s="27">
        <f>Q60</f>
        <v>0.14758494355291676</v>
      </c>
      <c r="S60" s="27">
        <f t="shared" si="169"/>
        <v>0.14758494355291676</v>
      </c>
      <c r="T60" s="160">
        <f t="shared" si="169"/>
        <v>0.14758494355291676</v>
      </c>
      <c r="U60" s="26"/>
      <c r="V60" s="360" t="s">
        <v>411</v>
      </c>
      <c r="W60" s="359">
        <v>0.35</v>
      </c>
      <c r="X60" s="26"/>
    </row>
    <row r="61" spans="1:62" x14ac:dyDescent="0.3">
      <c r="G61" s="49"/>
      <c r="H61" s="49"/>
      <c r="I61" s="26"/>
      <c r="J61" s="192" t="s">
        <v>190</v>
      </c>
      <c r="K61" s="29">
        <f>K12/K7</f>
        <v>0</v>
      </c>
      <c r="L61" s="29">
        <f>-L12/L7</f>
        <v>3.6293922718534991E-4</v>
      </c>
      <c r="M61" s="29">
        <f>-M12/M7</f>
        <v>0</v>
      </c>
      <c r="N61" s="29">
        <f>-N12/N7</f>
        <v>1.3417675654902285E-4</v>
      </c>
      <c r="O61" s="29">
        <f>-O12/O7</f>
        <v>2.4101748861805926E-3</v>
      </c>
      <c r="P61" s="29">
        <f>-P12/P7</f>
        <v>2.3624122529030783E-4</v>
      </c>
      <c r="Q61" s="27">
        <f t="shared" si="168"/>
        <v>5.2392201586754557E-4</v>
      </c>
      <c r="R61" s="27">
        <f t="shared" ref="R61:T61" si="171">Q61</f>
        <v>5.2392201586754557E-4</v>
      </c>
      <c r="S61" s="27">
        <f t="shared" si="171"/>
        <v>5.2392201586754557E-4</v>
      </c>
      <c r="T61" s="160">
        <f t="shared" si="171"/>
        <v>5.2392201586754557E-4</v>
      </c>
      <c r="U61" s="26"/>
      <c r="V61" s="26"/>
      <c r="W61" s="26"/>
      <c r="X61" s="26"/>
    </row>
    <row r="62" spans="1:62" x14ac:dyDescent="0.3">
      <c r="I62" s="26"/>
      <c r="J62" s="192" t="s">
        <v>189</v>
      </c>
      <c r="K62" s="29">
        <f t="shared" ref="K62:P62" si="172">K14/K7</f>
        <v>3.1766324311885051E-2</v>
      </c>
      <c r="L62" s="29">
        <f t="shared" si="172"/>
        <v>1.9315559110375496E-2</v>
      </c>
      <c r="M62" s="29">
        <f t="shared" si="172"/>
        <v>2.229947505649962E-2</v>
      </c>
      <c r="N62" s="29">
        <f t="shared" si="172"/>
        <v>9.6959458272377012E-3</v>
      </c>
      <c r="O62" s="29">
        <f t="shared" si="172"/>
        <v>3.2688108221429406E-3</v>
      </c>
      <c r="P62" s="29">
        <f t="shared" si="172"/>
        <v>6.3067898745973877E-3</v>
      </c>
      <c r="Q62" s="27">
        <f t="shared" si="168"/>
        <v>1.5442150833789699E-2</v>
      </c>
      <c r="R62" s="27">
        <f t="shared" ref="R62:T62" si="173">Q62</f>
        <v>1.5442150833789699E-2</v>
      </c>
      <c r="S62" s="27">
        <f t="shared" si="173"/>
        <v>1.5442150833789699E-2</v>
      </c>
      <c r="T62" s="160">
        <f t="shared" si="173"/>
        <v>1.5442150833789699E-2</v>
      </c>
      <c r="V62" s="26"/>
      <c r="W62" s="26"/>
      <c r="X62" s="26"/>
    </row>
    <row r="63" spans="1:62" x14ac:dyDescent="0.3">
      <c r="I63" s="26"/>
      <c r="J63" s="192" t="s">
        <v>191</v>
      </c>
      <c r="K63" s="29">
        <f t="shared" ref="K63:P63" si="174">K15/K7</f>
        <v>7.2426187294666308E-2</v>
      </c>
      <c r="L63" s="29">
        <f t="shared" si="174"/>
        <v>-3.4206051489298839E-2</v>
      </c>
      <c r="M63" s="29">
        <f t="shared" si="174"/>
        <v>7.4571476582787261E-2</v>
      </c>
      <c r="N63" s="29">
        <f t="shared" si="174"/>
        <v>-2.696201024564561E-3</v>
      </c>
      <c r="O63" s="29">
        <f t="shared" si="174"/>
        <v>-1.3903907897104018E-2</v>
      </c>
      <c r="P63" s="29">
        <f t="shared" si="174"/>
        <v>5.1618308894375776E-2</v>
      </c>
      <c r="Q63" s="27">
        <f t="shared" si="168"/>
        <v>2.4634968726810317E-2</v>
      </c>
      <c r="R63" s="27">
        <f t="shared" ref="R63:T63" si="175">Q63</f>
        <v>2.4634968726810317E-2</v>
      </c>
      <c r="S63" s="27">
        <f t="shared" si="175"/>
        <v>2.4634968726810317E-2</v>
      </c>
      <c r="T63" s="160">
        <f t="shared" si="175"/>
        <v>2.4634968726810317E-2</v>
      </c>
      <c r="U63" s="26"/>
      <c r="V63" s="26"/>
      <c r="W63" s="26"/>
      <c r="X63" s="26"/>
    </row>
    <row r="64" spans="1:62" x14ac:dyDescent="0.3">
      <c r="I64" s="26"/>
      <c r="J64" s="192" t="s">
        <v>192</v>
      </c>
      <c r="K64" s="29">
        <f>-K17/'Balance Sheet'!B14</f>
        <v>0.11410916003138782</v>
      </c>
      <c r="L64" s="29">
        <f>-L17/'Balance Sheet'!C14</f>
        <v>0.11503813003326148</v>
      </c>
      <c r="M64" s="29">
        <f>-M17/'Balance Sheet'!D14</f>
        <v>0.13581494031724994</v>
      </c>
      <c r="N64" s="29">
        <f>-N17/'Balance Sheet'!E14</f>
        <v>0.14511376480098373</v>
      </c>
      <c r="O64" s="29">
        <f>-O17/'Balance Sheet'!F14</f>
        <v>0.12197360683888833</v>
      </c>
      <c r="P64" s="29">
        <f>-P17/'Balance Sheet'!G14</f>
        <v>0.10026605330379378</v>
      </c>
      <c r="Q64" s="27">
        <f>AVERAGE(K64:P64)</f>
        <v>0.12205260922092752</v>
      </c>
      <c r="R64" s="27">
        <f t="shared" ref="R64:T64" si="176">Q64</f>
        <v>0.12205260922092752</v>
      </c>
      <c r="S64" s="27">
        <f t="shared" si="176"/>
        <v>0.12205260922092752</v>
      </c>
      <c r="T64" s="160">
        <f t="shared" si="176"/>
        <v>0.12205260922092752</v>
      </c>
      <c r="U64" s="26"/>
      <c r="V64" s="26"/>
      <c r="W64" s="26"/>
      <c r="X64" s="26"/>
    </row>
    <row r="65" spans="10:24" x14ac:dyDescent="0.3">
      <c r="J65" s="192" t="s">
        <v>186</v>
      </c>
      <c r="K65" s="27">
        <v>0.25</v>
      </c>
      <c r="L65" s="27">
        <v>0.24</v>
      </c>
      <c r="M65" s="27">
        <v>0.23</v>
      </c>
      <c r="N65" s="27">
        <v>0.22</v>
      </c>
      <c r="O65" s="27">
        <v>0.22</v>
      </c>
      <c r="P65" s="27">
        <v>0.22</v>
      </c>
      <c r="Q65" s="27">
        <f>P65</f>
        <v>0.22</v>
      </c>
      <c r="R65" s="288">
        <f>Q65+$W$60</f>
        <v>0.56999999999999995</v>
      </c>
      <c r="S65" s="288">
        <f>$Q$65+$W$60</f>
        <v>0.56999999999999995</v>
      </c>
      <c r="T65" s="289">
        <f>$Q$65+$W$60</f>
        <v>0.56999999999999995</v>
      </c>
      <c r="U65" s="26" t="s">
        <v>445</v>
      </c>
      <c r="V65" s="26"/>
      <c r="W65" s="26"/>
      <c r="X65" s="26"/>
    </row>
    <row r="66" spans="10:24" ht="15" thickBot="1" x14ac:dyDescent="0.35">
      <c r="J66" s="197" t="s">
        <v>369</v>
      </c>
      <c r="K66" s="202">
        <f t="shared" ref="K66:P66" si="177">-K28/Y8</f>
        <v>1.3928515728924892E-2</v>
      </c>
      <c r="L66" s="202">
        <f t="shared" si="177"/>
        <v>0.2655737284424714</v>
      </c>
      <c r="M66" s="202">
        <f t="shared" si="177"/>
        <v>0.13160059867646751</v>
      </c>
      <c r="N66" s="202">
        <f t="shared" si="177"/>
        <v>-1.5335807037838432E-3</v>
      </c>
      <c r="O66" s="202">
        <f t="shared" si="177"/>
        <v>5.5245019888984399E-2</v>
      </c>
      <c r="P66" s="202">
        <f t="shared" si="177"/>
        <v>3.1674908062934007E-2</v>
      </c>
      <c r="Q66" s="161">
        <f>AVERAGE(K66:P66)</f>
        <v>8.2748198349333058E-2</v>
      </c>
      <c r="R66" s="161">
        <f t="shared" ref="R66:T66" si="178">Q66</f>
        <v>8.2748198349333058E-2</v>
      </c>
      <c r="S66" s="161">
        <f t="shared" si="178"/>
        <v>8.2748198349333058E-2</v>
      </c>
      <c r="T66" s="233">
        <f t="shared" si="178"/>
        <v>8.2748198349333058E-2</v>
      </c>
      <c r="U66" s="26"/>
      <c r="V66" s="26"/>
      <c r="W66" s="26"/>
    </row>
    <row r="67" spans="10:24" x14ac:dyDescent="0.3">
      <c r="U67" s="26"/>
      <c r="V67" s="26"/>
      <c r="W67" s="26"/>
    </row>
    <row r="68" spans="10:24" x14ac:dyDescent="0.3">
      <c r="J68" s="26"/>
      <c r="K68" s="26"/>
      <c r="L68" s="158"/>
      <c r="M68" s="158"/>
      <c r="N68" s="158"/>
      <c r="O68" s="158"/>
      <c r="P68" s="158"/>
      <c r="Q68" s="26"/>
      <c r="R68" s="26"/>
      <c r="S68" s="26"/>
      <c r="T68" s="26"/>
      <c r="U68" s="26"/>
    </row>
    <row r="69" spans="10:24" x14ac:dyDescent="0.3">
      <c r="J69" s="26" t="s">
        <v>187</v>
      </c>
      <c r="K69" s="158">
        <f t="shared" ref="K69:P69" si="179">-K26/Y8</f>
        <v>4.8772969551296751E-2</v>
      </c>
      <c r="L69" s="158">
        <f t="shared" si="179"/>
        <v>0.19596853832948277</v>
      </c>
      <c r="M69" s="158">
        <f t="shared" si="179"/>
        <v>0.14278335364586345</v>
      </c>
      <c r="N69" s="158">
        <f t="shared" si="179"/>
        <v>5.1096339071451113E-2</v>
      </c>
      <c r="O69" s="158">
        <f t="shared" si="179"/>
        <v>2.7731508426100789E-2</v>
      </c>
      <c r="P69" s="158">
        <f t="shared" si="179"/>
        <v>3.6805922244035824E-2</v>
      </c>
      <c r="Q69" s="27">
        <f>AVERAGE(K69:P69)</f>
        <v>8.3859771878038447E-2</v>
      </c>
      <c r="R69" s="27">
        <f t="shared" ref="R69:T69" si="180">Q69</f>
        <v>8.3859771878038447E-2</v>
      </c>
      <c r="S69" s="27">
        <f>R69</f>
        <v>8.3859771878038447E-2</v>
      </c>
      <c r="T69" s="27">
        <f t="shared" si="180"/>
        <v>8.3859771878038447E-2</v>
      </c>
      <c r="U69" s="26"/>
    </row>
  </sheetData>
  <mergeCells count="3">
    <mergeCell ref="A1:E1"/>
    <mergeCell ref="K3:P3"/>
    <mergeCell ref="Q3:T3"/>
  </mergeCells>
  <pageMargins left="0.7" right="0.7" top="0.75" bottom="0.75" header="0.3" footer="0.3"/>
  <pageSetup paperSize="9" orientation="portrait" r:id="rId1"/>
  <ignoredErrors>
    <ignoredError sqref="AP5:AV12 AP14:AV17 AP13:AU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19DE-4B00-44B2-83DC-7F8191F269A3}">
  <dimension ref="A1:BN89"/>
  <sheetViews>
    <sheetView showGridLines="0" topLeftCell="T13" zoomScale="81" zoomScaleNormal="115" workbookViewId="0">
      <selection activeCell="V22" sqref="V22:W26"/>
    </sheetView>
  </sheetViews>
  <sheetFormatPr defaultColWidth="8.77734375" defaultRowHeight="14.4" x14ac:dyDescent="0.3"/>
  <cols>
    <col min="1" max="1" width="33.109375" customWidth="1"/>
    <col min="2" max="2" width="13.6640625" style="3" customWidth="1"/>
    <col min="3" max="3" width="12.109375" customWidth="1"/>
    <col min="4" max="4" width="12.33203125" customWidth="1"/>
    <col min="5" max="5" width="14" customWidth="1"/>
    <col min="6" max="6" width="13.77734375" bestFit="1" customWidth="1"/>
    <col min="7" max="7" width="13.109375" customWidth="1"/>
    <col min="8" max="8" width="8.77734375" customWidth="1"/>
    <col min="9" max="11" width="8.77734375" hidden="1" customWidth="1"/>
    <col min="12" max="12" width="11.44140625" hidden="1" customWidth="1"/>
    <col min="13" max="13" width="8.77734375" customWidth="1"/>
    <col min="14" max="14" width="31.33203125" bestFit="1" customWidth="1"/>
    <col min="15" max="15" width="11.109375" customWidth="1"/>
    <col min="16" max="20" width="15.44140625" bestFit="1" customWidth="1"/>
    <col min="21" max="21" width="10.33203125" customWidth="1"/>
    <col min="22" max="22" width="46.77734375" customWidth="1"/>
    <col min="23" max="23" width="15.77734375" bestFit="1" customWidth="1"/>
    <col min="24" max="24" width="14" bestFit="1" customWidth="1"/>
    <col min="25" max="27" width="15.77734375" bestFit="1" customWidth="1"/>
    <col min="28" max="28" width="12.109375" bestFit="1" customWidth="1"/>
    <col min="29" max="29" width="10.109375" customWidth="1"/>
    <col min="30" max="30" width="57.44140625" bestFit="1" customWidth="1"/>
    <col min="31" max="31" width="14.109375" bestFit="1" customWidth="1"/>
    <col min="32" max="32" width="14.77734375" bestFit="1" customWidth="1"/>
    <col min="33" max="34" width="14.109375" bestFit="1" customWidth="1"/>
    <col min="35" max="35" width="14.6640625" bestFit="1" customWidth="1"/>
    <col min="36" max="36" width="15.44140625" bestFit="1" customWidth="1"/>
    <col min="37" max="38" width="13.77734375" bestFit="1" customWidth="1"/>
    <col min="39" max="40" width="14.33203125" bestFit="1" customWidth="1"/>
    <col min="41" max="41" width="12.77734375" bestFit="1" customWidth="1"/>
    <col min="43" max="43" width="63.109375" customWidth="1"/>
    <col min="44" max="49" width="6.109375" bestFit="1" customWidth="1"/>
    <col min="50" max="51" width="7.44140625" bestFit="1" customWidth="1"/>
    <col min="52" max="53" width="9.77734375" bestFit="1" customWidth="1"/>
    <col min="54" max="54" width="14.33203125" bestFit="1" customWidth="1"/>
    <col min="55" max="55" width="11.109375" bestFit="1" customWidth="1"/>
    <col min="56" max="56" width="10.77734375" bestFit="1" customWidth="1"/>
    <col min="57" max="57" width="11.109375" bestFit="1" customWidth="1"/>
    <col min="58" max="63" width="9.77734375" bestFit="1" customWidth="1"/>
    <col min="64" max="65" width="10.77734375" bestFit="1" customWidth="1"/>
    <col min="66" max="66" width="12.6640625" customWidth="1"/>
  </cols>
  <sheetData>
    <row r="1" spans="1:66" ht="18" thickBot="1" x14ac:dyDescent="0.35">
      <c r="A1" s="82" t="s">
        <v>47</v>
      </c>
      <c r="B1" s="83"/>
      <c r="C1" s="372"/>
      <c r="D1" s="373"/>
      <c r="E1" s="373"/>
      <c r="F1" s="373"/>
      <c r="G1" s="84"/>
      <c r="H1" s="59"/>
      <c r="I1" s="59"/>
      <c r="J1" s="59"/>
      <c r="K1" s="59"/>
      <c r="L1" s="35"/>
      <c r="M1" s="26"/>
      <c r="N1" s="35"/>
      <c r="O1" s="35"/>
      <c r="P1" s="35"/>
      <c r="Q1" s="35"/>
      <c r="R1" s="35"/>
      <c r="S1" s="35"/>
      <c r="T1" s="35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81">
        <f>(AF12-AE12)/AE12</f>
        <v>0.1349665211075379</v>
      </c>
      <c r="AG1" s="81">
        <f t="shared" ref="AG1:AJ1" si="0">(AG12-AF12)/AF12</f>
        <v>5.5439908056529208E-2</v>
      </c>
      <c r="AH1" s="81">
        <f t="shared" si="0"/>
        <v>0.4528752239178146</v>
      </c>
      <c r="AI1" s="81">
        <f t="shared" si="0"/>
        <v>0.43878379040070187</v>
      </c>
      <c r="AJ1" s="81">
        <f t="shared" si="0"/>
        <v>0.25269134052988895</v>
      </c>
      <c r="AK1" s="34">
        <f>AVERAGE(AF1:AJ1)</f>
        <v>0.26695135680249449</v>
      </c>
    </row>
    <row r="2" spans="1:66" ht="16.8" thickBot="1" x14ac:dyDescent="0.4">
      <c r="A2" s="85"/>
      <c r="B2" s="86">
        <v>2016</v>
      </c>
      <c r="C2" s="86">
        <v>2017</v>
      </c>
      <c r="D2" s="86">
        <v>2018</v>
      </c>
      <c r="E2" s="86">
        <v>2019</v>
      </c>
      <c r="F2" s="87">
        <v>2020</v>
      </c>
      <c r="G2" s="87">
        <v>2021</v>
      </c>
      <c r="H2" s="59"/>
      <c r="I2" s="59"/>
      <c r="J2" s="59"/>
      <c r="K2" s="59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35"/>
      <c r="AD2" s="26"/>
      <c r="AF2" s="79">
        <v>0.14892262110034599</v>
      </c>
      <c r="AG2" s="79">
        <v>-3.68400757884692E-3</v>
      </c>
      <c r="AH2" s="79">
        <v>0.216743190152277</v>
      </c>
      <c r="AI2" s="79">
        <v>0.270967598727757</v>
      </c>
      <c r="AJ2" s="79">
        <v>0.28433742141739299</v>
      </c>
      <c r="AK2" s="79">
        <v>0.146370045862978</v>
      </c>
      <c r="AL2" s="17">
        <f>AK2</f>
        <v>0.146370045862978</v>
      </c>
      <c r="AM2" s="17">
        <f>AL2</f>
        <v>0.146370045862978</v>
      </c>
      <c r="AN2" s="17">
        <f>AM2</f>
        <v>0.146370045862978</v>
      </c>
    </row>
    <row r="3" spans="1:66" ht="25.2" thickBot="1" x14ac:dyDescent="0.45">
      <c r="A3" s="35" t="s">
        <v>45</v>
      </c>
      <c r="B3" s="88"/>
      <c r="C3" s="59"/>
      <c r="D3" s="59"/>
      <c r="E3" s="59"/>
      <c r="F3" s="59"/>
      <c r="G3" s="49"/>
      <c r="H3" s="59"/>
      <c r="I3" s="59"/>
      <c r="J3" s="59"/>
      <c r="K3" s="59"/>
      <c r="L3" s="26"/>
      <c r="M3" s="26"/>
      <c r="N3" s="89" t="s">
        <v>50</v>
      </c>
      <c r="O3" s="90"/>
      <c r="P3" s="90"/>
      <c r="Q3" s="90"/>
      <c r="R3" s="90"/>
      <c r="S3" s="90"/>
      <c r="T3" s="91"/>
      <c r="U3" s="26"/>
      <c r="V3" s="89" t="s">
        <v>49</v>
      </c>
      <c r="W3" s="90"/>
      <c r="X3" s="90"/>
      <c r="Y3" s="90"/>
      <c r="Z3" s="90"/>
      <c r="AA3" s="90"/>
      <c r="AB3" s="91"/>
      <c r="AC3" s="26"/>
      <c r="AD3" s="208" t="s">
        <v>48</v>
      </c>
      <c r="AE3" s="209"/>
      <c r="AF3" s="209"/>
      <c r="AG3" s="209"/>
      <c r="AH3" s="209"/>
      <c r="AI3" s="209"/>
      <c r="AJ3" s="210"/>
      <c r="AK3" s="377" t="s">
        <v>179</v>
      </c>
      <c r="AL3" s="378"/>
      <c r="AM3" s="378"/>
      <c r="AN3" s="379"/>
    </row>
    <row r="4" spans="1:66" ht="16.8" thickBot="1" x14ac:dyDescent="0.4">
      <c r="A4" s="73" t="s">
        <v>44</v>
      </c>
      <c r="B4" s="92"/>
      <c r="C4" s="93"/>
      <c r="D4" s="93"/>
      <c r="E4" s="93"/>
      <c r="F4" s="93"/>
      <c r="G4" s="94"/>
      <c r="H4" s="59"/>
      <c r="I4" s="59"/>
      <c r="J4" s="59"/>
      <c r="K4" s="59"/>
      <c r="L4" s="26"/>
      <c r="M4" s="26"/>
      <c r="N4" s="95" t="s">
        <v>46</v>
      </c>
      <c r="O4" s="86">
        <v>2016</v>
      </c>
      <c r="P4" s="86">
        <v>2017</v>
      </c>
      <c r="Q4" s="86">
        <v>2018</v>
      </c>
      <c r="R4" s="86">
        <v>2019</v>
      </c>
      <c r="S4" s="86">
        <v>2020</v>
      </c>
      <c r="T4" s="96">
        <v>2021</v>
      </c>
      <c r="U4" s="26"/>
      <c r="V4" s="95" t="s">
        <v>46</v>
      </c>
      <c r="W4" s="86">
        <v>2016</v>
      </c>
      <c r="X4" s="86">
        <v>2017</v>
      </c>
      <c r="Y4" s="86">
        <v>2018</v>
      </c>
      <c r="Z4" s="86">
        <v>2019</v>
      </c>
      <c r="AA4" s="86">
        <v>2020</v>
      </c>
      <c r="AB4" s="96">
        <v>2021</v>
      </c>
      <c r="AC4" s="26"/>
      <c r="AD4" s="211" t="s">
        <v>46</v>
      </c>
      <c r="AE4" s="186">
        <v>2016</v>
      </c>
      <c r="AF4" s="186">
        <v>2017</v>
      </c>
      <c r="AG4" s="186">
        <v>2018</v>
      </c>
      <c r="AH4" s="186">
        <v>2019</v>
      </c>
      <c r="AI4" s="186">
        <v>2020</v>
      </c>
      <c r="AJ4" s="186">
        <v>2021</v>
      </c>
      <c r="AK4" s="186" t="s">
        <v>353</v>
      </c>
      <c r="AL4" s="186" t="s">
        <v>354</v>
      </c>
      <c r="AM4" s="186" t="s">
        <v>355</v>
      </c>
      <c r="AN4" s="212" t="s">
        <v>356</v>
      </c>
      <c r="AQ4" s="184" t="s">
        <v>183</v>
      </c>
      <c r="AR4" s="185"/>
      <c r="AS4" s="185"/>
      <c r="AT4" s="185"/>
      <c r="AU4" s="185"/>
      <c r="AV4" s="185"/>
      <c r="AW4" s="185"/>
      <c r="AX4" s="374" t="s">
        <v>179</v>
      </c>
      <c r="AY4" s="375"/>
      <c r="AZ4" s="375"/>
      <c r="BA4" s="376"/>
    </row>
    <row r="5" spans="1:66" ht="15.6" x14ac:dyDescent="0.3">
      <c r="A5" s="35" t="s">
        <v>86</v>
      </c>
      <c r="B5" s="88"/>
      <c r="C5" s="26"/>
      <c r="D5" s="26"/>
      <c r="E5" s="26"/>
      <c r="F5" s="26"/>
      <c r="G5" s="49"/>
      <c r="H5" s="59"/>
      <c r="I5" s="59"/>
      <c r="J5" s="59"/>
      <c r="K5" s="59"/>
      <c r="L5" s="26"/>
      <c r="M5" s="26"/>
      <c r="N5" s="26"/>
      <c r="O5" s="26"/>
      <c r="P5" s="26"/>
      <c r="Q5" s="26"/>
      <c r="R5" s="26"/>
      <c r="S5" s="26"/>
      <c r="T5" s="26"/>
      <c r="U5" s="26"/>
      <c r="V5" s="97"/>
      <c r="W5" s="98"/>
      <c r="X5" s="98"/>
      <c r="Y5" s="98"/>
      <c r="Z5" s="98"/>
      <c r="AA5" s="98"/>
      <c r="AB5" s="26"/>
      <c r="AC5" s="26"/>
      <c r="AD5" s="191"/>
      <c r="AE5" s="283">
        <f t="shared" ref="AE5:AI5" si="1">W5</f>
        <v>0</v>
      </c>
      <c r="AF5" s="283">
        <f t="shared" si="1"/>
        <v>0</v>
      </c>
      <c r="AG5" s="283">
        <f t="shared" si="1"/>
        <v>0</v>
      </c>
      <c r="AH5" s="283">
        <f t="shared" si="1"/>
        <v>0</v>
      </c>
      <c r="AI5" s="283">
        <f t="shared" si="1"/>
        <v>0</v>
      </c>
      <c r="AJ5" s="26"/>
      <c r="AK5" s="26"/>
      <c r="AN5" s="187"/>
      <c r="AQ5" s="193"/>
      <c r="AR5" s="194">
        <v>2016</v>
      </c>
      <c r="AS5" s="194">
        <v>2017</v>
      </c>
      <c r="AT5" s="194">
        <v>2018</v>
      </c>
      <c r="AU5" s="194">
        <v>2019</v>
      </c>
      <c r="AV5" s="194">
        <v>2020</v>
      </c>
      <c r="AW5" s="194">
        <v>2021</v>
      </c>
      <c r="AX5" s="194">
        <v>2022</v>
      </c>
      <c r="AY5" s="194">
        <v>2023</v>
      </c>
      <c r="AZ5" s="194">
        <v>2024</v>
      </c>
      <c r="BA5" s="195">
        <v>2025</v>
      </c>
      <c r="BE5" s="273">
        <v>2016</v>
      </c>
      <c r="BF5" s="273">
        <v>2017</v>
      </c>
      <c r="BG5" s="273">
        <v>2018</v>
      </c>
      <c r="BH5" s="273">
        <v>2019</v>
      </c>
      <c r="BI5" s="273">
        <v>2020</v>
      </c>
      <c r="BJ5" s="273">
        <v>2021</v>
      </c>
      <c r="BK5" s="273">
        <v>2022</v>
      </c>
      <c r="BL5" s="273">
        <v>2023</v>
      </c>
      <c r="BM5" s="273">
        <v>2024</v>
      </c>
      <c r="BN5" s="273">
        <v>2025</v>
      </c>
    </row>
    <row r="6" spans="1:66" x14ac:dyDescent="0.3">
      <c r="A6" s="26" t="s">
        <v>122</v>
      </c>
      <c r="B6" s="68">
        <v>2464332</v>
      </c>
      <c r="C6" s="68">
        <v>2478510</v>
      </c>
      <c r="D6" s="68">
        <v>2957486</v>
      </c>
      <c r="E6" s="68">
        <v>4295467</v>
      </c>
      <c r="F6" s="68">
        <v>6385101</v>
      </c>
      <c r="G6" s="68">
        <v>7487421</v>
      </c>
      <c r="H6" s="59"/>
      <c r="I6" s="59"/>
      <c r="J6" s="59"/>
      <c r="K6" s="59"/>
      <c r="L6" s="26"/>
      <c r="M6" s="26"/>
      <c r="N6" s="26" t="s">
        <v>122</v>
      </c>
      <c r="O6" s="99">
        <v>2464332</v>
      </c>
      <c r="P6" s="99">
        <v>2478510</v>
      </c>
      <c r="Q6" s="99">
        <v>2957486</v>
      </c>
      <c r="R6" s="99">
        <v>4295467</v>
      </c>
      <c r="S6" s="99">
        <v>6385101</v>
      </c>
      <c r="T6" s="99">
        <v>7487421</v>
      </c>
      <c r="U6" s="26"/>
      <c r="V6" s="26" t="s">
        <v>122</v>
      </c>
      <c r="W6" s="99">
        <v>2464332</v>
      </c>
      <c r="X6" s="99">
        <v>2478510</v>
      </c>
      <c r="Y6" s="99">
        <v>2957486</v>
      </c>
      <c r="Z6" s="99">
        <v>4295467</v>
      </c>
      <c r="AA6" s="99">
        <v>6385101</v>
      </c>
      <c r="AB6" s="99">
        <v>7487421</v>
      </c>
      <c r="AC6" s="26"/>
      <c r="AD6" s="192" t="s">
        <v>122</v>
      </c>
      <c r="AE6" s="67">
        <v>2464332</v>
      </c>
      <c r="AF6" s="67">
        <v>2478510</v>
      </c>
      <c r="AG6" s="67">
        <v>2957486</v>
      </c>
      <c r="AH6" s="67">
        <v>4295467</v>
      </c>
      <c r="AI6" s="67">
        <v>6385101</v>
      </c>
      <c r="AJ6" s="67">
        <f>AI6</f>
        <v>6385101</v>
      </c>
      <c r="AK6" s="51">
        <f>AJ6</f>
        <v>6385101</v>
      </c>
      <c r="AL6" s="51">
        <f t="shared" ref="AL6:AN8" si="2">AK6</f>
        <v>6385101</v>
      </c>
      <c r="AM6" s="51">
        <f t="shared" si="2"/>
        <v>6385101</v>
      </c>
      <c r="AN6" s="262">
        <f t="shared" si="2"/>
        <v>6385101</v>
      </c>
      <c r="AQ6" s="192" t="s">
        <v>406</v>
      </c>
      <c r="AR6" s="159">
        <f>SUM(AE9:AE10)/'Income Statement'!K$7</f>
        <v>0.34746252802106442</v>
      </c>
      <c r="AS6" s="159">
        <f>SUM(AF9:AF10)/'Income Statement'!L$7</f>
        <v>0.33324310697425719</v>
      </c>
      <c r="AT6" s="159">
        <f>SUM(AG9:AG10)/'Income Statement'!M$7</f>
        <v>0.31663856306084148</v>
      </c>
      <c r="AU6" s="159">
        <f>SUM(AH9:AH10)/'Income Statement'!N$7</f>
        <v>0.40364331568906259</v>
      </c>
      <c r="AV6" s="159">
        <f>SUM(AI9:AI10)/'Income Statement'!O$7</f>
        <v>0.49586631889600807</v>
      </c>
      <c r="AW6" s="159">
        <f>SUM(AJ9:AJ10)/'Income Statement'!P$7</f>
        <v>0.53244338502965816</v>
      </c>
      <c r="AX6" s="159">
        <f>AVERAGE(AR6:AW6)</f>
        <v>0.40488286961181535</v>
      </c>
      <c r="AY6" s="159">
        <f>AX6</f>
        <v>0.40488286961181535</v>
      </c>
      <c r="AZ6" s="159">
        <f t="shared" ref="AZ6:BA6" si="3">AY6</f>
        <v>0.40488286961181535</v>
      </c>
      <c r="BA6" s="196">
        <f t="shared" si="3"/>
        <v>0.40488286961181535</v>
      </c>
      <c r="BD6" t="s">
        <v>37</v>
      </c>
      <c r="BE6" s="4">
        <f>AE20</f>
        <v>4307875</v>
      </c>
      <c r="BF6" s="4">
        <f t="shared" ref="BF6:BN6" si="4">AF20</f>
        <v>3046412</v>
      </c>
      <c r="BG6" s="4">
        <f t="shared" si="4"/>
        <v>4498959</v>
      </c>
      <c r="BH6" s="4">
        <f t="shared" si="4"/>
        <v>5146871</v>
      </c>
      <c r="BI6" s="4">
        <f t="shared" si="4"/>
        <v>4989730</v>
      </c>
      <c r="BJ6" s="4">
        <f t="shared" si="4"/>
        <v>6218093</v>
      </c>
      <c r="BK6" s="4">
        <f t="shared" si="4"/>
        <v>7209491.8532449761</v>
      </c>
      <c r="BL6" s="4">
        <f t="shared" si="4"/>
        <v>10576177.922487896</v>
      </c>
      <c r="BM6" s="4">
        <f t="shared" si="4"/>
        <v>11012380.496789396</v>
      </c>
      <c r="BN6" s="4">
        <f t="shared" si="4"/>
        <v>11071825.267039785</v>
      </c>
    </row>
    <row r="7" spans="1:66" x14ac:dyDescent="0.3">
      <c r="A7" s="26" t="s">
        <v>43</v>
      </c>
      <c r="B7" s="68">
        <v>446465</v>
      </c>
      <c r="C7" s="68">
        <v>446465</v>
      </c>
      <c r="D7" s="68">
        <v>446465</v>
      </c>
      <c r="E7" s="68">
        <v>446465</v>
      </c>
      <c r="F7" s="68">
        <v>441130</v>
      </c>
      <c r="G7" s="68">
        <v>752063</v>
      </c>
      <c r="H7" s="59"/>
      <c r="I7" s="59"/>
      <c r="J7" s="59"/>
      <c r="K7" s="59"/>
      <c r="L7" s="26"/>
      <c r="M7" s="26"/>
      <c r="N7" s="26" t="s">
        <v>43</v>
      </c>
      <c r="O7" s="51">
        <v>446465</v>
      </c>
      <c r="P7" s="51">
        <v>446465</v>
      </c>
      <c r="Q7" s="51">
        <v>446465</v>
      </c>
      <c r="R7" s="51">
        <v>446465</v>
      </c>
      <c r="S7" s="51">
        <v>441130</v>
      </c>
      <c r="T7" s="51">
        <v>752063</v>
      </c>
      <c r="U7" s="26"/>
      <c r="V7" s="26" t="s">
        <v>43</v>
      </c>
      <c r="W7" s="51">
        <v>446465</v>
      </c>
      <c r="X7" s="51">
        <v>446465</v>
      </c>
      <c r="Y7" s="51">
        <v>446465</v>
      </c>
      <c r="Z7" s="51">
        <v>446465</v>
      </c>
      <c r="AA7" s="51">
        <v>441130</v>
      </c>
      <c r="AB7" s="51">
        <v>752063</v>
      </c>
      <c r="AC7" s="26"/>
      <c r="AD7" s="192" t="s">
        <v>43</v>
      </c>
      <c r="AE7" s="67">
        <v>446465</v>
      </c>
      <c r="AF7" s="67">
        <v>446465</v>
      </c>
      <c r="AG7" s="67">
        <v>446465</v>
      </c>
      <c r="AH7" s="67">
        <v>446465</v>
      </c>
      <c r="AI7" s="67">
        <v>441130</v>
      </c>
      <c r="AJ7" s="67">
        <v>752063</v>
      </c>
      <c r="AK7" s="51">
        <f>AJ7</f>
        <v>752063</v>
      </c>
      <c r="AL7" s="51">
        <f t="shared" si="2"/>
        <v>752063</v>
      </c>
      <c r="AM7" s="51">
        <f t="shared" si="2"/>
        <v>752063</v>
      </c>
      <c r="AN7" s="262">
        <f t="shared" si="2"/>
        <v>752063</v>
      </c>
      <c r="AQ7" s="192" t="s">
        <v>407</v>
      </c>
      <c r="AS7" s="8">
        <f>(AS6-AR6)/AR6</f>
        <v>-4.0923610174001847E-2</v>
      </c>
      <c r="AT7" s="8">
        <f t="shared" ref="AT7:AW7" si="5">(AT6-AS6)/AS6</f>
        <v>-4.9827118898811591E-2</v>
      </c>
      <c r="AU7" s="8">
        <f t="shared" si="5"/>
        <v>0.27477623630923093</v>
      </c>
      <c r="AV7" s="8">
        <f t="shared" si="5"/>
        <v>0.22847647817358474</v>
      </c>
      <c r="AW7" s="8">
        <f t="shared" si="5"/>
        <v>7.3763965689552999E-2</v>
      </c>
      <c r="AX7" s="8">
        <f>AVERAGE(AS7:AW7)</f>
        <v>9.7253190219911051E-2</v>
      </c>
      <c r="AY7" s="8">
        <f>AX7</f>
        <v>9.7253190219911051E-2</v>
      </c>
      <c r="AZ7" s="8">
        <f t="shared" ref="AZ7:BA7" si="6">AY7</f>
        <v>9.7253190219911051E-2</v>
      </c>
      <c r="BA7" s="8">
        <f t="shared" si="6"/>
        <v>9.7253190219911051E-2</v>
      </c>
      <c r="BD7" t="s">
        <v>372</v>
      </c>
      <c r="BE7" s="4">
        <f>BF6-BE6</f>
        <v>-1261463</v>
      </c>
      <c r="BF7" s="4">
        <f t="shared" ref="BF7:BM7" si="7">BG6-BF6</f>
        <v>1452547</v>
      </c>
      <c r="BG7" s="4">
        <f t="shared" si="7"/>
        <v>647912</v>
      </c>
      <c r="BH7" s="4">
        <f t="shared" si="7"/>
        <v>-157141</v>
      </c>
      <c r="BI7" s="4">
        <f t="shared" si="7"/>
        <v>1228363</v>
      </c>
      <c r="BJ7" s="4">
        <f t="shared" si="7"/>
        <v>991398.85324497614</v>
      </c>
      <c r="BK7" s="4">
        <f t="shared" si="7"/>
        <v>3366686.0692429198</v>
      </c>
      <c r="BL7" s="4">
        <f t="shared" si="7"/>
        <v>436202.57430149987</v>
      </c>
      <c r="BM7" s="4">
        <f t="shared" si="7"/>
        <v>59444.770250389352</v>
      </c>
      <c r="BN7" s="4">
        <f>BO6-BN6</f>
        <v>-11071825.267039785</v>
      </c>
    </row>
    <row r="8" spans="1:66" x14ac:dyDescent="0.3">
      <c r="A8" s="100" t="s">
        <v>42</v>
      </c>
      <c r="B8" s="101">
        <v>0</v>
      </c>
      <c r="C8" s="101">
        <v>0</v>
      </c>
      <c r="D8" s="101">
        <v>0</v>
      </c>
      <c r="E8" s="101">
        <v>0</v>
      </c>
      <c r="F8" s="101">
        <v>0</v>
      </c>
      <c r="G8" s="102">
        <v>290986</v>
      </c>
      <c r="H8" s="59"/>
      <c r="I8" s="59"/>
      <c r="J8" s="59"/>
      <c r="K8" s="59"/>
      <c r="L8" s="26"/>
      <c r="M8" s="26"/>
      <c r="N8" s="26" t="s">
        <v>42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290986</v>
      </c>
      <c r="U8" s="26"/>
      <c r="V8" s="26" t="s">
        <v>42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290986</v>
      </c>
      <c r="AC8" s="26"/>
      <c r="AD8" s="192" t="s">
        <v>42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290986</v>
      </c>
      <c r="AK8" s="51">
        <f>AJ8</f>
        <v>290986</v>
      </c>
      <c r="AL8" s="51">
        <f t="shared" si="2"/>
        <v>290986</v>
      </c>
      <c r="AM8" s="51">
        <f t="shared" si="2"/>
        <v>290986</v>
      </c>
      <c r="AN8" s="262">
        <f t="shared" si="2"/>
        <v>290986</v>
      </c>
      <c r="AQ8" s="192" t="s">
        <v>346</v>
      </c>
      <c r="AR8" s="159">
        <f>AE13/'Income Statement'!K$7</f>
        <v>0.55338913957696134</v>
      </c>
      <c r="AS8" s="159">
        <f>AF13/'Income Statement'!L$7</f>
        <v>0.38230858930902695</v>
      </c>
      <c r="AT8" s="159">
        <f>AG13/'Income Statement'!M$7</f>
        <v>0.46776202255682453</v>
      </c>
      <c r="AU8" s="159">
        <f>AH13/'Income Statement'!N$7</f>
        <v>0.46747852048307881</v>
      </c>
      <c r="AV8" s="159">
        <f>AI13/'Income Statement'!O$7</f>
        <v>0.46380358139550371</v>
      </c>
      <c r="AW8" s="159">
        <f>AJ13/'Income Statement'!P$7</f>
        <v>0.48397039473356224</v>
      </c>
      <c r="AX8" s="34">
        <f>AVERAGE(AR8:AW8)</f>
        <v>0.46978537467582621</v>
      </c>
      <c r="AY8" s="34">
        <f>AX8</f>
        <v>0.46978537467582621</v>
      </c>
      <c r="AZ8" s="34">
        <f>AY8</f>
        <v>0.46978537467582621</v>
      </c>
      <c r="BA8" s="188">
        <f>AZ8</f>
        <v>0.46978537467582621</v>
      </c>
      <c r="BD8" t="s">
        <v>373</v>
      </c>
      <c r="BF8" s="11">
        <f>BE7/BE6</f>
        <v>-0.29282720598903172</v>
      </c>
      <c r="BG8" s="11">
        <f t="shared" ref="BG8:BN8" si="8">BF7/BF6</f>
        <v>0.4768058292837607</v>
      </c>
      <c r="BH8" s="11">
        <f t="shared" si="8"/>
        <v>0.14401375962750493</v>
      </c>
      <c r="BI8" s="11">
        <f t="shared" si="8"/>
        <v>-3.0531365561717011E-2</v>
      </c>
      <c r="BJ8" s="11">
        <f t="shared" si="8"/>
        <v>0.24617825012575831</v>
      </c>
      <c r="BK8" s="11">
        <f t="shared" si="8"/>
        <v>0.15943776544432128</v>
      </c>
      <c r="BL8" s="11">
        <f t="shared" si="8"/>
        <v>0.46697966205864871</v>
      </c>
      <c r="BM8" s="11">
        <f t="shared" si="8"/>
        <v>4.1243876332111608E-2</v>
      </c>
      <c r="BN8" s="11">
        <f t="shared" si="8"/>
        <v>5.3979945814367908E-3</v>
      </c>
    </row>
    <row r="9" spans="1:66" x14ac:dyDescent="0.3">
      <c r="A9" s="103" t="s">
        <v>90</v>
      </c>
      <c r="B9" s="104">
        <v>2910797</v>
      </c>
      <c r="C9" s="104">
        <v>2924975</v>
      </c>
      <c r="D9" s="104">
        <v>3403951</v>
      </c>
      <c r="E9" s="104">
        <v>4741932</v>
      </c>
      <c r="F9" s="104">
        <v>6826230</v>
      </c>
      <c r="G9" s="104">
        <v>8530470</v>
      </c>
      <c r="H9" s="59"/>
      <c r="I9" s="59"/>
      <c r="J9" s="59"/>
      <c r="K9" s="59"/>
      <c r="L9" s="26"/>
      <c r="M9" s="26"/>
      <c r="N9" s="26" t="s">
        <v>41</v>
      </c>
      <c r="O9" s="26">
        <v>3137522</v>
      </c>
      <c r="P9" s="26">
        <v>3604770</v>
      </c>
      <c r="Q9" s="26">
        <v>3591490</v>
      </c>
      <c r="R9" s="26">
        <v>4369921</v>
      </c>
      <c r="S9" s="26">
        <v>5554028</v>
      </c>
      <c r="T9" s="26">
        <v>7133246</v>
      </c>
      <c r="U9" s="26"/>
      <c r="V9" s="26" t="s">
        <v>41</v>
      </c>
      <c r="W9" s="26">
        <v>3137522</v>
      </c>
      <c r="X9" s="26">
        <v>3604770</v>
      </c>
      <c r="Y9" s="26">
        <v>3591490</v>
      </c>
      <c r="Z9" s="26">
        <v>4369921</v>
      </c>
      <c r="AA9" s="26">
        <v>5554028</v>
      </c>
      <c r="AB9" s="26">
        <v>7133246</v>
      </c>
      <c r="AC9" s="26"/>
      <c r="AD9" s="192" t="s">
        <v>41</v>
      </c>
      <c r="AE9" s="157">
        <v>3137522</v>
      </c>
      <c r="AF9" s="157">
        <v>3604770</v>
      </c>
      <c r="AG9" s="157">
        <v>3591490</v>
      </c>
      <c r="AH9" s="157">
        <v>4369921</v>
      </c>
      <c r="AI9" s="157">
        <v>5554028</v>
      </c>
      <c r="AJ9" s="157">
        <v>7133246</v>
      </c>
      <c r="AK9" s="380">
        <f>SUM(AJ9:AJ10)*(1+AX7)</f>
        <v>8789051.8190678079</v>
      </c>
      <c r="AL9" s="380">
        <f>SUM(AK9:AK10)*(1+AY7)</f>
        <v>9643815.1474802643</v>
      </c>
      <c r="AM9" s="380">
        <f>SUM(AL9:AL10)*(1+AZ7)</f>
        <v>10581706.936463822</v>
      </c>
      <c r="AN9" s="380">
        <f t="shared" ref="AN9" si="9">SUM(AM9:AM10)*(1+BA7)</f>
        <v>11610811.694007089</v>
      </c>
      <c r="AQ9" s="192" t="s">
        <v>347</v>
      </c>
      <c r="AR9" s="159">
        <f>AE14/'Income Statement'!K$7</f>
        <v>2.4893425268781837E-2</v>
      </c>
      <c r="AS9" s="159">
        <f>AF14/'Income Statement'!L$7</f>
        <v>2.3947887621590652E-2</v>
      </c>
      <c r="AT9" s="159">
        <f>AG14/'Income Statement'!M$7</f>
        <v>4.0549421232643018E-2</v>
      </c>
      <c r="AU9" s="159">
        <f>AH14/'Income Statement'!N$7</f>
        <v>3.8302315921869903E-2</v>
      </c>
      <c r="AV9" s="159">
        <f>AI14/'Income Statement'!O$7</f>
        <v>5.2740165396809147E-2</v>
      </c>
      <c r="AW9" s="159">
        <f>AJ14/'Income Statement'!P$7</f>
        <v>4.3021959997859606E-2</v>
      </c>
      <c r="AX9" s="34">
        <f t="shared" ref="AX9:BA14" si="10">AVERAGE($AR9:$AW9)</f>
        <v>3.7242529239925694E-2</v>
      </c>
      <c r="AY9" s="34">
        <f t="shared" si="10"/>
        <v>3.7242529239925694E-2</v>
      </c>
      <c r="AZ9" s="34">
        <f t="shared" si="10"/>
        <v>3.7242529239925694E-2</v>
      </c>
      <c r="BA9" s="188">
        <f t="shared" si="10"/>
        <v>3.7242529239925694E-2</v>
      </c>
    </row>
    <row r="10" spans="1:66" x14ac:dyDescent="0.3">
      <c r="A10" s="26"/>
      <c r="B10" s="68"/>
      <c r="C10" s="68"/>
      <c r="D10" s="68"/>
      <c r="E10" s="68"/>
      <c r="F10" s="68"/>
      <c r="G10" s="68"/>
      <c r="H10" s="59"/>
      <c r="I10" s="59"/>
      <c r="J10" s="59"/>
      <c r="K10" s="59"/>
      <c r="L10" s="26"/>
      <c r="M10" s="26"/>
      <c r="N10" s="26" t="s">
        <v>88</v>
      </c>
      <c r="O10" s="26">
        <v>0</v>
      </c>
      <c r="P10" s="26">
        <v>0</v>
      </c>
      <c r="Q10" s="26">
        <v>0</v>
      </c>
      <c r="R10" s="26">
        <v>569700</v>
      </c>
      <c r="S10" s="26">
        <v>848767</v>
      </c>
      <c r="T10" s="26">
        <v>876803</v>
      </c>
      <c r="U10" s="26"/>
      <c r="V10" s="26" t="s">
        <v>88</v>
      </c>
      <c r="W10" s="26">
        <v>0</v>
      </c>
      <c r="X10" s="26">
        <v>0</v>
      </c>
      <c r="Y10" s="26">
        <v>0</v>
      </c>
      <c r="Z10" s="26">
        <v>569700</v>
      </c>
      <c r="AA10" s="26">
        <v>848767</v>
      </c>
      <c r="AB10" s="26">
        <v>876803</v>
      </c>
      <c r="AC10" s="26"/>
      <c r="AD10" s="192" t="s">
        <v>88</v>
      </c>
      <c r="AE10" s="67">
        <v>0</v>
      </c>
      <c r="AF10" s="67">
        <v>0</v>
      </c>
      <c r="AG10" s="67">
        <v>0</v>
      </c>
      <c r="AH10" s="67">
        <v>569700</v>
      </c>
      <c r="AI10" s="67">
        <v>848767</v>
      </c>
      <c r="AJ10" s="67">
        <v>876803</v>
      </c>
      <c r="AK10" s="380"/>
      <c r="AL10" s="380"/>
      <c r="AM10" s="380"/>
      <c r="AN10" s="380"/>
      <c r="AQ10" s="192" t="s">
        <v>343</v>
      </c>
      <c r="AR10" s="159">
        <f>AE15/'Income Statement'!K$7</f>
        <v>6.5978435436211638E-2</v>
      </c>
      <c r="AS10" s="159">
        <f>AF15/'Income Statement'!L$7</f>
        <v>4.6325318903032361E-2</v>
      </c>
      <c r="AT10" s="159">
        <f>AG15/'Income Statement'!M$7</f>
        <v>5.5548424102719721E-2</v>
      </c>
      <c r="AU10" s="159">
        <f>AH15/'Income Statement'!N$7</f>
        <v>6.0422767916131194E-2</v>
      </c>
      <c r="AV10" s="159">
        <f>AI15/'Income Statement'!O$7</f>
        <v>4.5614424216336914E-2</v>
      </c>
      <c r="AW10" s="159">
        <f>AJ15/'Income Statement'!P$7</f>
        <v>6.2146863738201649E-2</v>
      </c>
      <c r="AX10" s="34">
        <f t="shared" si="10"/>
        <v>5.6006039052105577E-2</v>
      </c>
      <c r="AY10" s="34">
        <f t="shared" si="10"/>
        <v>5.6006039052105577E-2</v>
      </c>
      <c r="AZ10" s="34">
        <f t="shared" si="10"/>
        <v>5.6006039052105577E-2</v>
      </c>
      <c r="BA10" s="188">
        <f t="shared" si="10"/>
        <v>5.6006039052105577E-2</v>
      </c>
    </row>
    <row r="11" spans="1:66" x14ac:dyDescent="0.3">
      <c r="A11" s="73" t="s">
        <v>87</v>
      </c>
      <c r="B11" s="105"/>
      <c r="C11" s="106"/>
      <c r="D11" s="106"/>
      <c r="E11" s="106"/>
      <c r="F11" s="106"/>
      <c r="G11" s="106"/>
      <c r="H11" s="59"/>
      <c r="I11" s="59"/>
      <c r="J11" s="59"/>
      <c r="K11" s="59"/>
      <c r="L11" s="26"/>
      <c r="M11" s="26"/>
      <c r="N11" s="107" t="s">
        <v>89</v>
      </c>
      <c r="O11" s="107">
        <v>3137522</v>
      </c>
      <c r="P11" s="107">
        <v>3604770</v>
      </c>
      <c r="Q11" s="107">
        <v>3591490</v>
      </c>
      <c r="R11" s="107">
        <v>4939621</v>
      </c>
      <c r="S11" s="107">
        <v>6402795</v>
      </c>
      <c r="T11" s="107">
        <v>8010049</v>
      </c>
      <c r="U11" s="26"/>
      <c r="V11" s="108" t="s">
        <v>105</v>
      </c>
      <c r="W11" s="109">
        <v>-1495301</v>
      </c>
      <c r="X11" s="109">
        <v>-1362222</v>
      </c>
      <c r="Y11" s="109">
        <v>-1541431</v>
      </c>
      <c r="Z11" s="109">
        <v>-1757557</v>
      </c>
      <c r="AA11" s="109">
        <v>-1828109</v>
      </c>
      <c r="AB11" s="109">
        <v>-2258689</v>
      </c>
      <c r="AC11" s="26"/>
      <c r="AD11" s="213" t="s">
        <v>105</v>
      </c>
      <c r="AE11" s="69">
        <v>-1495301</v>
      </c>
      <c r="AF11" s="69">
        <v>-1362222</v>
      </c>
      <c r="AG11" s="69">
        <v>-1541431</v>
      </c>
      <c r="AH11" s="69">
        <v>-1757557</v>
      </c>
      <c r="AI11" s="69">
        <v>-1828109</v>
      </c>
      <c r="AJ11" s="69">
        <v>-2258689</v>
      </c>
      <c r="AK11" s="51">
        <f>AVERAGE(AE11:AJ11)</f>
        <v>-1707218.1666666667</v>
      </c>
      <c r="AL11" s="51">
        <f t="shared" ref="AL11:AM11" si="11">AK11</f>
        <v>-1707218.1666666667</v>
      </c>
      <c r="AM11" s="51">
        <f t="shared" si="11"/>
        <v>-1707218.1666666667</v>
      </c>
      <c r="AN11" s="262">
        <f>AM11</f>
        <v>-1707218.1666666667</v>
      </c>
      <c r="AQ11" s="192" t="s">
        <v>348</v>
      </c>
      <c r="AR11" s="159">
        <f>AE16/'Income Statement'!K$7</f>
        <v>3.3453402251696435E-2</v>
      </c>
      <c r="AS11" s="159">
        <f>AF16/'Income Statement'!L$7</f>
        <v>2.245175709363148E-2</v>
      </c>
      <c r="AT11" s="159">
        <f>AG16/'Income Statement'!M$7</f>
        <v>2.5515946408542555E-2</v>
      </c>
      <c r="AU11" s="159">
        <f>AH16/'Income Statement'!N$7</f>
        <v>2.6993225544672241E-2</v>
      </c>
      <c r="AV11" s="159">
        <f>AI16/'Income Statement'!O$7</f>
        <v>3.3762042065029106E-2</v>
      </c>
      <c r="AW11" s="159">
        <f>AJ16/'Income Statement'!P$7</f>
        <v>3.1881065770979621E-2</v>
      </c>
      <c r="AX11" s="34">
        <f t="shared" si="10"/>
        <v>2.9009573189091909E-2</v>
      </c>
      <c r="AY11" s="34">
        <f t="shared" si="10"/>
        <v>2.9009573189091909E-2</v>
      </c>
      <c r="AZ11" s="34">
        <f t="shared" si="10"/>
        <v>2.9009573189091909E-2</v>
      </c>
      <c r="BA11" s="188">
        <f t="shared" si="10"/>
        <v>2.9009573189091909E-2</v>
      </c>
    </row>
    <row r="12" spans="1:66" ht="15" thickBot="1" x14ac:dyDescent="0.35">
      <c r="A12" s="26" t="s">
        <v>41</v>
      </c>
      <c r="B12" s="68">
        <v>3137522</v>
      </c>
      <c r="C12" s="68">
        <v>3604770</v>
      </c>
      <c r="D12" s="68">
        <v>3591490</v>
      </c>
      <c r="E12" s="68">
        <v>4369921</v>
      </c>
      <c r="F12" s="68">
        <v>5554028</v>
      </c>
      <c r="G12" s="68">
        <v>7133246</v>
      </c>
      <c r="H12" s="59"/>
      <c r="I12" s="59"/>
      <c r="J12" s="59"/>
      <c r="K12" s="59"/>
      <c r="L12" s="26"/>
      <c r="M12" s="26"/>
      <c r="N12" s="35" t="s">
        <v>40</v>
      </c>
      <c r="O12" s="71">
        <v>6048319</v>
      </c>
      <c r="P12" s="71">
        <v>6529745</v>
      </c>
      <c r="Q12" s="71">
        <v>6995441</v>
      </c>
      <c r="R12" s="71">
        <v>9681553</v>
      </c>
      <c r="S12" s="71">
        <v>13229026</v>
      </c>
      <c r="T12" s="71">
        <v>16540519</v>
      </c>
      <c r="U12" s="26"/>
      <c r="V12" s="52" t="s">
        <v>227</v>
      </c>
      <c r="W12" s="110">
        <v>4553018</v>
      </c>
      <c r="X12" s="110">
        <v>5167523</v>
      </c>
      <c r="Y12" s="110">
        <v>5454010</v>
      </c>
      <c r="Z12" s="110">
        <v>7923996</v>
      </c>
      <c r="AA12" s="110">
        <v>11400917</v>
      </c>
      <c r="AB12" s="110">
        <v>14281830</v>
      </c>
      <c r="AC12" s="26"/>
      <c r="AD12" s="214" t="s">
        <v>227</v>
      </c>
      <c r="AE12" s="110">
        <v>4553018</v>
      </c>
      <c r="AF12" s="110">
        <v>5167523</v>
      </c>
      <c r="AG12" s="110">
        <v>5454010</v>
      </c>
      <c r="AH12" s="110">
        <v>7923996</v>
      </c>
      <c r="AI12" s="110">
        <v>11400917</v>
      </c>
      <c r="AJ12" s="110">
        <v>14281830</v>
      </c>
      <c r="AK12" s="71">
        <f>SUM(AK6:AK11)</f>
        <v>14509983.652401142</v>
      </c>
      <c r="AL12" s="71">
        <f>SUM(AL6:AL11)</f>
        <v>15364746.980813598</v>
      </c>
      <c r="AM12" s="71">
        <f t="shared" ref="AM12:AN12" si="12">SUM(AM6:AM11)</f>
        <v>16302638.769797156</v>
      </c>
      <c r="AN12" s="263">
        <f t="shared" si="12"/>
        <v>17331743.527340423</v>
      </c>
      <c r="AQ12" s="192" t="s">
        <v>344</v>
      </c>
      <c r="AR12" s="159">
        <f>-(AE17/'Income Statement'!K$7)</f>
        <v>0.13282687771863297</v>
      </c>
      <c r="AS12" s="159">
        <f>-(AF17/'Income Statement'!L$7)</f>
        <v>0.11546154388024003</v>
      </c>
      <c r="AT12" s="159">
        <f>-(AG17/'Income Statement'!M$7)</f>
        <v>0.10533430125172867</v>
      </c>
      <c r="AU12" s="159">
        <f>-(AH17/'Income Statement'!N$7)</f>
        <v>0.10664273820603061</v>
      </c>
      <c r="AV12" s="159">
        <f>-(AI17/'Income Statement'!O$7)</f>
        <v>0.15925253213185742</v>
      </c>
      <c r="AW12" s="159">
        <f>-(AJ17/'Income Statement'!P$7)</f>
        <v>0.15403592608188876</v>
      </c>
      <c r="AX12" s="34">
        <f t="shared" si="10"/>
        <v>0.12892565321172975</v>
      </c>
      <c r="AY12" s="34">
        <f t="shared" si="10"/>
        <v>0.12892565321172975</v>
      </c>
      <c r="AZ12" s="34">
        <f t="shared" si="10"/>
        <v>0.12892565321172975</v>
      </c>
      <c r="BA12" s="188">
        <f t="shared" si="10"/>
        <v>0.12892565321172975</v>
      </c>
    </row>
    <row r="13" spans="1:66" x14ac:dyDescent="0.3">
      <c r="A13" s="26" t="s">
        <v>88</v>
      </c>
      <c r="B13" s="68">
        <v>0</v>
      </c>
      <c r="C13" s="68"/>
      <c r="D13" s="68">
        <v>0</v>
      </c>
      <c r="E13" s="68">
        <v>569700</v>
      </c>
      <c r="F13" s="68">
        <v>848767</v>
      </c>
      <c r="G13" s="68">
        <v>876803</v>
      </c>
      <c r="H13" s="59"/>
      <c r="I13" s="59"/>
      <c r="J13" s="59"/>
      <c r="K13" s="59"/>
      <c r="L13" s="26"/>
      <c r="M13" s="26"/>
      <c r="N13" s="26" t="s">
        <v>124</v>
      </c>
      <c r="O13" s="66">
        <v>908400</v>
      </c>
      <c r="P13" s="66">
        <v>1023796</v>
      </c>
      <c r="Q13" s="66">
        <v>1188971</v>
      </c>
      <c r="R13" s="66">
        <v>717819</v>
      </c>
      <c r="S13" s="66">
        <v>752562</v>
      </c>
      <c r="T13" s="66">
        <v>1174428</v>
      </c>
      <c r="U13" s="26"/>
      <c r="V13" s="26" t="s">
        <v>123</v>
      </c>
      <c r="W13" s="26">
        <v>4997001</v>
      </c>
      <c r="X13" s="26">
        <v>4135523</v>
      </c>
      <c r="Y13" s="26">
        <v>5305616</v>
      </c>
      <c r="Z13" s="26">
        <v>5720810</v>
      </c>
      <c r="AA13" s="26">
        <v>5988790</v>
      </c>
      <c r="AB13" s="26">
        <v>7280824</v>
      </c>
      <c r="AC13" s="26"/>
      <c r="AD13" s="192" t="s">
        <v>123</v>
      </c>
      <c r="AE13" s="67">
        <v>4997001</v>
      </c>
      <c r="AF13" s="67">
        <v>4135523</v>
      </c>
      <c r="AG13" s="67">
        <v>5305616</v>
      </c>
      <c r="AH13" s="67">
        <v>5720810</v>
      </c>
      <c r="AI13" s="67">
        <v>5988790</v>
      </c>
      <c r="AJ13" s="67">
        <v>7280824</v>
      </c>
      <c r="AK13" s="51">
        <f>AX8*'Income Statement'!Q$7</f>
        <v>8553961.5518189277</v>
      </c>
      <c r="AL13" s="51">
        <f>AY8*'Income Statement'!R$7</f>
        <v>12548487.626550004</v>
      </c>
      <c r="AM13" s="51">
        <f>AZ8*'Income Statement'!S$7</f>
        <v>13066035.898374464</v>
      </c>
      <c r="AN13" s="262">
        <f>BA8*'Income Statement'!T$7</f>
        <v>13136566.289354747</v>
      </c>
      <c r="AQ13" s="192" t="s">
        <v>349</v>
      </c>
      <c r="AR13" s="159">
        <f>-(AE18/'Income Statement'!K$7)</f>
        <v>4.6869514698752376E-2</v>
      </c>
      <c r="AS13" s="159">
        <f>-(AF18/'Income Statement'!L$7)</f>
        <v>6.2164482282815632E-2</v>
      </c>
      <c r="AT13" s="159">
        <f>-(AG18/'Income Statement'!M$7)</f>
        <v>6.0896073318231506E-2</v>
      </c>
      <c r="AU13" s="159">
        <f>-(AH18/'Income Statement'!N$7)</f>
        <v>4.8085860703444117E-2</v>
      </c>
      <c r="AV13" s="159">
        <f>-(AI18/'Income Statement'!O$7)</f>
        <v>4.1652632934647563E-2</v>
      </c>
      <c r="AW13" s="159">
        <f>-(AJ18/'Income Statement'!P$7)</f>
        <v>3.6114662743050446E-2</v>
      </c>
      <c r="AX13" s="34">
        <f t="shared" si="10"/>
        <v>4.9297204446823596E-2</v>
      </c>
      <c r="AY13" s="34">
        <f t="shared" si="10"/>
        <v>4.9297204446823596E-2</v>
      </c>
      <c r="AZ13" s="34">
        <f t="shared" si="10"/>
        <v>4.9297204446823596E-2</v>
      </c>
      <c r="BA13" s="188">
        <f t="shared" si="10"/>
        <v>4.9297204446823596E-2</v>
      </c>
    </row>
    <row r="14" spans="1:66" x14ac:dyDescent="0.3">
      <c r="A14" s="103" t="s">
        <v>89</v>
      </c>
      <c r="B14" s="104">
        <v>3137522</v>
      </c>
      <c r="C14" s="104">
        <v>3604770</v>
      </c>
      <c r="D14" s="104">
        <v>3591490</v>
      </c>
      <c r="E14" s="104">
        <v>4939621</v>
      </c>
      <c r="F14" s="104">
        <v>6402795</v>
      </c>
      <c r="G14" s="104">
        <v>8010049</v>
      </c>
      <c r="H14" s="59"/>
      <c r="I14" s="59"/>
      <c r="J14" s="59"/>
      <c r="K14" s="59"/>
      <c r="L14" s="26"/>
      <c r="M14" s="26"/>
      <c r="N14" s="26" t="s">
        <v>125</v>
      </c>
      <c r="O14" s="68">
        <v>289</v>
      </c>
      <c r="P14" s="68">
        <v>393</v>
      </c>
      <c r="Q14" s="68">
        <v>394</v>
      </c>
      <c r="R14" s="68">
        <v>472</v>
      </c>
      <c r="S14" s="68">
        <v>472</v>
      </c>
      <c r="T14" s="68">
        <v>7512</v>
      </c>
      <c r="U14" s="26"/>
      <c r="V14" s="26" t="s">
        <v>93</v>
      </c>
      <c r="W14" s="26">
        <v>224783</v>
      </c>
      <c r="X14" s="26">
        <v>259050</v>
      </c>
      <c r="Y14" s="26">
        <v>459934</v>
      </c>
      <c r="Z14" s="26">
        <v>468728</v>
      </c>
      <c r="AA14" s="26">
        <v>680999</v>
      </c>
      <c r="AB14" s="26">
        <v>647220</v>
      </c>
      <c r="AC14" s="26"/>
      <c r="AD14" s="192" t="s">
        <v>93</v>
      </c>
      <c r="AE14" s="67">
        <v>224783</v>
      </c>
      <c r="AF14" s="67">
        <v>259050</v>
      </c>
      <c r="AG14" s="67">
        <v>459934</v>
      </c>
      <c r="AH14" s="67">
        <v>468728</v>
      </c>
      <c r="AI14" s="67">
        <v>680999</v>
      </c>
      <c r="AJ14" s="67">
        <v>647220</v>
      </c>
      <c r="AK14" s="51">
        <f>AX9*'Income Statement'!Q$7</f>
        <v>678120.6490956546</v>
      </c>
      <c r="AL14" s="51">
        <f>AY9*'Income Statement'!R$7</f>
        <v>994789.2006453349</v>
      </c>
      <c r="AM14" s="51">
        <f>AZ9*'Income Statement'!S$7</f>
        <v>1035818.1634132712</v>
      </c>
      <c r="AN14" s="262">
        <f>BA9*'Income Statement'!T$7</f>
        <v>1041409.5042467298</v>
      </c>
      <c r="AQ14" s="192" t="s">
        <v>350</v>
      </c>
      <c r="AR14" s="159">
        <f>-(AE19/'Income Statement'!K$7)</f>
        <v>2.0945614162152178E-2</v>
      </c>
      <c r="AS14" s="159">
        <f>-(AF19/'Income Statement'!L$7)</f>
        <v>1.5781847454960314E-2</v>
      </c>
      <c r="AT14" s="159">
        <f>-(AG19/'Income Statement'!M$7)</f>
        <v>2.6501174250525939E-2</v>
      </c>
      <c r="AU14" s="159">
        <f>-(AH19/'Income Statement'!N$7)</f>
        <v>1.7889389813630772E-2</v>
      </c>
      <c r="AV14" s="159">
        <f>-(AI19/'Income Statement'!O$7)</f>
        <v>8.5839585556174523E-3</v>
      </c>
      <c r="AW14" s="159">
        <f>-(AJ19/'Income Statement'!P$7)</f>
        <v>1.7541077157620558E-2</v>
      </c>
      <c r="AX14" s="34">
        <f t="shared" si="10"/>
        <v>1.78738435657512E-2</v>
      </c>
      <c r="AY14" s="34">
        <f t="shared" si="10"/>
        <v>1.78738435657512E-2</v>
      </c>
      <c r="AZ14" s="34">
        <f t="shared" si="10"/>
        <v>1.78738435657512E-2</v>
      </c>
      <c r="BA14" s="188">
        <f t="shared" si="10"/>
        <v>1.78738435657512E-2</v>
      </c>
    </row>
    <row r="15" spans="1:66" x14ac:dyDescent="0.3">
      <c r="A15" s="26"/>
      <c r="B15" s="68"/>
      <c r="C15" s="68"/>
      <c r="D15" s="68"/>
      <c r="E15" s="68"/>
      <c r="F15" s="68"/>
      <c r="G15" s="68"/>
      <c r="H15" s="59"/>
      <c r="I15" s="59"/>
      <c r="J15" s="59"/>
      <c r="K15" s="59"/>
      <c r="L15" s="26"/>
      <c r="M15" s="26"/>
      <c r="N15" s="26" t="s">
        <v>126</v>
      </c>
      <c r="O15" s="68">
        <v>1379</v>
      </c>
      <c r="P15" s="68">
        <v>1379</v>
      </c>
      <c r="Q15" s="68">
        <v>7324</v>
      </c>
      <c r="R15" s="68">
        <v>1510</v>
      </c>
      <c r="S15" s="68">
        <v>7217</v>
      </c>
      <c r="T15" s="68">
        <v>8655</v>
      </c>
      <c r="U15" s="26"/>
      <c r="V15" s="26" t="s">
        <v>35</v>
      </c>
      <c r="W15" s="26">
        <v>595773</v>
      </c>
      <c r="X15" s="26">
        <v>501112</v>
      </c>
      <c r="Y15" s="26">
        <v>630061</v>
      </c>
      <c r="Z15" s="26">
        <v>739429</v>
      </c>
      <c r="AA15" s="26">
        <v>588989</v>
      </c>
      <c r="AB15" s="26">
        <v>934934</v>
      </c>
      <c r="AC15" s="26"/>
      <c r="AD15" s="192" t="s">
        <v>35</v>
      </c>
      <c r="AE15" s="67">
        <v>595773</v>
      </c>
      <c r="AF15" s="67">
        <v>501112</v>
      </c>
      <c r="AG15" s="67">
        <v>630061</v>
      </c>
      <c r="AH15" s="67">
        <v>739429</v>
      </c>
      <c r="AI15" s="67">
        <v>588989</v>
      </c>
      <c r="AJ15" s="67">
        <v>934934</v>
      </c>
      <c r="AK15" s="51">
        <f>AX10*'Income Statement'!Q$7</f>
        <v>1019771.0072433896</v>
      </c>
      <c r="AL15" s="51">
        <f>AY10*'Income Statement'!R$7</f>
        <v>1495983.3275831155</v>
      </c>
      <c r="AM15" s="51">
        <f>AZ10*'Income Statement'!S$7</f>
        <v>1557683.4789408543</v>
      </c>
      <c r="AN15" s="262">
        <f>BA10*'Income Statement'!T$7</f>
        <v>1566091.8459197704</v>
      </c>
      <c r="AQ15" s="234" t="s">
        <v>358</v>
      </c>
      <c r="AR15" s="12">
        <f>-AE41/'Income Statement'!K7</f>
        <v>3.0312363023202914E-2</v>
      </c>
      <c r="AS15" s="12">
        <f>-AF41/'Income Statement'!L7</f>
        <v>1.637183170047659E-2</v>
      </c>
      <c r="AT15" s="12">
        <f>-AG41/'Income Statement'!M7</f>
        <v>2.1123637586384865E-2</v>
      </c>
      <c r="AU15" s="12">
        <f>-AH41/'Income Statement'!N7</f>
        <v>1.8875450058013877E-2</v>
      </c>
      <c r="AV15" s="12">
        <f>-AI41/'Income Statement'!O7</f>
        <v>1.7304917830159534E-2</v>
      </c>
      <c r="AW15" s="12">
        <f>-AJ41/'Income Statement'!P7</f>
        <v>5.993401331897983E-2</v>
      </c>
      <c r="AX15" s="8">
        <f>AVERAGE(AR15:AW15)</f>
        <v>2.7320368919536268E-2</v>
      </c>
      <c r="AY15" s="8">
        <f>AX15</f>
        <v>2.7320368919536268E-2</v>
      </c>
      <c r="AZ15" s="8">
        <f>AY15</f>
        <v>2.7320368919536268E-2</v>
      </c>
      <c r="BA15" s="230">
        <f>AZ15</f>
        <v>2.7320368919536268E-2</v>
      </c>
    </row>
    <row r="16" spans="1:66" ht="15" thickBot="1" x14ac:dyDescent="0.35">
      <c r="A16" s="73" t="s">
        <v>91</v>
      </c>
      <c r="B16" s="105"/>
      <c r="C16" s="106"/>
      <c r="D16" s="106"/>
      <c r="E16" s="106"/>
      <c r="F16" s="106"/>
      <c r="G16" s="106"/>
      <c r="H16" s="59"/>
      <c r="I16" s="59"/>
      <c r="J16" s="59"/>
      <c r="K16" s="59"/>
      <c r="L16" s="26"/>
      <c r="M16" s="26"/>
      <c r="N16" s="26" t="s">
        <v>127</v>
      </c>
      <c r="O16" s="68">
        <v>49949</v>
      </c>
      <c r="P16" s="68">
        <v>55284</v>
      </c>
      <c r="Q16" s="68">
        <v>18812</v>
      </c>
      <c r="R16" s="68">
        <v>94414</v>
      </c>
      <c r="S16" s="68">
        <v>90745</v>
      </c>
      <c r="T16" s="68">
        <v>109898</v>
      </c>
      <c r="U16" s="26"/>
      <c r="V16" s="26" t="s">
        <v>36</v>
      </c>
      <c r="W16" s="26">
        <v>302078</v>
      </c>
      <c r="X16" s="26">
        <v>242866</v>
      </c>
      <c r="Y16" s="26">
        <v>289416</v>
      </c>
      <c r="Z16" s="26">
        <v>330332</v>
      </c>
      <c r="AA16" s="26">
        <v>435947</v>
      </c>
      <c r="AB16" s="26">
        <v>479617</v>
      </c>
      <c r="AC16" s="26"/>
      <c r="AD16" s="192" t="s">
        <v>36</v>
      </c>
      <c r="AE16" s="67">
        <v>302078</v>
      </c>
      <c r="AF16" s="67">
        <v>242866</v>
      </c>
      <c r="AG16" s="67">
        <v>289416</v>
      </c>
      <c r="AH16" s="67">
        <v>330332</v>
      </c>
      <c r="AI16" s="67">
        <v>435947</v>
      </c>
      <c r="AJ16" s="67">
        <v>479617</v>
      </c>
      <c r="AK16" s="51">
        <f>AX11*'Income Statement'!Q$7</f>
        <v>528213.06722330849</v>
      </c>
      <c r="AL16" s="51">
        <f>AY11*'Income Statement'!R$7</f>
        <v>774877.82685021148</v>
      </c>
      <c r="AM16" s="51">
        <f>AZ11*'Income Statement'!S$7</f>
        <v>806836.79211331694</v>
      </c>
      <c r="AN16" s="262">
        <f>BA11*'Income Statement'!T$7</f>
        <v>811192.09274524834</v>
      </c>
      <c r="AQ16" s="197" t="s">
        <v>345</v>
      </c>
      <c r="AR16" s="198">
        <f t="shared" ref="AR16:AW16" si="13">AE42/AE21</f>
        <v>0.24603163586333793</v>
      </c>
      <c r="AS16" s="198">
        <f t="shared" si="13"/>
        <v>6.6448906644622829E-2</v>
      </c>
      <c r="AT16" s="198">
        <f t="shared" si="13"/>
        <v>8.1696928825961385E-2</v>
      </c>
      <c r="AU16" s="198">
        <f t="shared" si="13"/>
        <v>0.25482372362904465</v>
      </c>
      <c r="AV16" s="198">
        <f t="shared" si="13"/>
        <v>0.32968466711533717</v>
      </c>
      <c r="AW16" s="198">
        <f t="shared" si="13"/>
        <v>0.24472028504692434</v>
      </c>
      <c r="AX16" s="189">
        <f>AVERAGE($AR16:$AW16)</f>
        <v>0.20390102452087136</v>
      </c>
      <c r="AY16" s="189">
        <f>AVERAGE($AR16:$AW16)</f>
        <v>0.20390102452087136</v>
      </c>
      <c r="AZ16" s="189">
        <f>AVERAGE($AR16:$AW16)</f>
        <v>0.20390102452087136</v>
      </c>
      <c r="BA16" s="190">
        <f>AVERAGE($AR16:$AW16)</f>
        <v>0.20390102452087136</v>
      </c>
    </row>
    <row r="17" spans="1:53" x14ac:dyDescent="0.3">
      <c r="A17" s="26" t="s">
        <v>124</v>
      </c>
      <c r="B17" s="66">
        <v>908400</v>
      </c>
      <c r="C17" s="66">
        <v>1023796</v>
      </c>
      <c r="D17" s="66">
        <v>1188971</v>
      </c>
      <c r="E17" s="66">
        <v>717819</v>
      </c>
      <c r="F17" s="66">
        <v>752562</v>
      </c>
      <c r="G17" s="66">
        <v>1174428</v>
      </c>
      <c r="H17" s="59"/>
      <c r="I17" s="59"/>
      <c r="J17" s="59"/>
      <c r="K17" s="59"/>
      <c r="L17" s="26"/>
      <c r="M17" s="26"/>
      <c r="N17" s="26" t="s">
        <v>33</v>
      </c>
      <c r="O17" s="26">
        <v>273715</v>
      </c>
      <c r="P17" s="26">
        <v>177098</v>
      </c>
      <c r="Q17" s="26">
        <v>239596</v>
      </c>
      <c r="R17" s="26">
        <v>230990</v>
      </c>
      <c r="S17" s="26">
        <v>223447</v>
      </c>
      <c r="T17" s="26">
        <v>901644</v>
      </c>
      <c r="U17" s="26"/>
      <c r="V17" s="108" t="s">
        <v>53</v>
      </c>
      <c r="W17" s="70">
        <v>-1199402</v>
      </c>
      <c r="X17" s="70">
        <v>-1248975</v>
      </c>
      <c r="Y17" s="70">
        <v>-1194760</v>
      </c>
      <c r="Z17" s="70">
        <v>-1305050</v>
      </c>
      <c r="AA17" s="70">
        <v>-2056323</v>
      </c>
      <c r="AB17" s="70">
        <v>-2317308</v>
      </c>
      <c r="AC17" s="26"/>
      <c r="AD17" s="213" t="s">
        <v>53</v>
      </c>
      <c r="AE17" s="181">
        <v>-1199402</v>
      </c>
      <c r="AF17" s="181">
        <v>-1248975</v>
      </c>
      <c r="AG17" s="181">
        <v>-1194760</v>
      </c>
      <c r="AH17" s="181">
        <v>-1305050</v>
      </c>
      <c r="AI17" s="181">
        <v>-2056323</v>
      </c>
      <c r="AJ17" s="181">
        <v>-2317308</v>
      </c>
      <c r="AK17" s="51">
        <f>-(AX12*'Income Statement'!Q$7)</f>
        <v>-2347508.3305377001</v>
      </c>
      <c r="AL17" s="51">
        <f>-(AY12*'Income Statement'!R$7)</f>
        <v>-3443746.9774120576</v>
      </c>
      <c r="AM17" s="51">
        <f>-(AZ12*'Income Statement'!S$7)</f>
        <v>-3585780.4518675236</v>
      </c>
      <c r="AN17" s="262">
        <f>-(BA12*'Income Statement'!T$7)</f>
        <v>-3605136.4753169264</v>
      </c>
      <c r="AQ17" s="192" t="s">
        <v>454</v>
      </c>
      <c r="AR17" s="313">
        <f>AE6/'Income Statement'!K7</f>
        <v>0.27291060480315543</v>
      </c>
      <c r="AS17" s="313">
        <f>AF6/'Income Statement'!L7</f>
        <v>0.22912595618216036</v>
      </c>
      <c r="AT17" s="313">
        <f>AG6/'Income Statement'!M7</f>
        <v>0.26074251002023002</v>
      </c>
      <c r="AU17" s="313">
        <f>AH6/'Income Statement'!N7</f>
        <v>0.3510059865550314</v>
      </c>
      <c r="AV17" s="313">
        <f>AI6/'Income Statement'!O7</f>
        <v>0.49449600192559973</v>
      </c>
      <c r="AW17" s="313">
        <f>AJ6/'Income Statement'!P7</f>
        <v>0.4244299616889054</v>
      </c>
      <c r="AX17" s="313">
        <f>AVERAGE(AR17:AW17)</f>
        <v>0.33878517019584709</v>
      </c>
      <c r="AY17" s="313">
        <f>AX17</f>
        <v>0.33878517019584709</v>
      </c>
      <c r="AZ17" s="313">
        <f t="shared" ref="AZ17:BA17" si="14">AY17</f>
        <v>0.33878517019584709</v>
      </c>
      <c r="BA17" s="313">
        <f t="shared" si="14"/>
        <v>0.33878517019584709</v>
      </c>
    </row>
    <row r="18" spans="1:53" ht="15" thickBot="1" x14ac:dyDescent="0.35">
      <c r="A18" s="26" t="s">
        <v>125</v>
      </c>
      <c r="B18" s="68">
        <v>289</v>
      </c>
      <c r="C18" s="68">
        <v>393</v>
      </c>
      <c r="D18" s="68">
        <v>394</v>
      </c>
      <c r="E18" s="68">
        <v>472</v>
      </c>
      <c r="F18" s="68">
        <v>472</v>
      </c>
      <c r="G18" s="68">
        <v>7512</v>
      </c>
      <c r="H18" s="59"/>
      <c r="I18" s="59"/>
      <c r="J18" s="59"/>
      <c r="K18" s="59"/>
      <c r="L18" s="26"/>
      <c r="M18" s="26"/>
      <c r="N18" s="35" t="s">
        <v>27</v>
      </c>
      <c r="O18" s="71">
        <v>1233732</v>
      </c>
      <c r="P18" s="71">
        <v>1257950</v>
      </c>
      <c r="Q18" s="71">
        <v>1455097</v>
      </c>
      <c r="R18" s="71">
        <v>1045205</v>
      </c>
      <c r="S18" s="71">
        <v>1074443</v>
      </c>
      <c r="T18" s="71">
        <v>2202137</v>
      </c>
      <c r="U18" s="26"/>
      <c r="V18" s="108" t="s">
        <v>118</v>
      </c>
      <c r="W18" s="70">
        <v>-423223</v>
      </c>
      <c r="X18" s="70">
        <v>-672448</v>
      </c>
      <c r="Y18" s="70">
        <v>-690717</v>
      </c>
      <c r="Z18" s="70">
        <v>-588455</v>
      </c>
      <c r="AA18" s="70">
        <v>-537833</v>
      </c>
      <c r="AB18" s="70">
        <v>-543307</v>
      </c>
      <c r="AC18" s="26"/>
      <c r="AD18" s="213" t="s">
        <v>118</v>
      </c>
      <c r="AE18" s="181">
        <v>-423223</v>
      </c>
      <c r="AF18" s="181">
        <v>-672448</v>
      </c>
      <c r="AG18" s="181">
        <v>-690717</v>
      </c>
      <c r="AH18" s="181">
        <v>-588455</v>
      </c>
      <c r="AI18" s="181">
        <v>-537833</v>
      </c>
      <c r="AJ18" s="181">
        <v>-543307</v>
      </c>
      <c r="AK18" s="51">
        <f>-(AX13*'Income Statement'!Q$7)</f>
        <v>-897614.98373862612</v>
      </c>
      <c r="AL18" s="51">
        <f>-(AY13*'Income Statement'!R$7)</f>
        <v>-1316782.9255036691</v>
      </c>
      <c r="AM18" s="51">
        <f>-(AZ13*'Income Statement'!S$7)</f>
        <v>-1371092.1576393784</v>
      </c>
      <c r="AN18" s="262">
        <f>-(BA13*'Income Statement'!T$7)</f>
        <v>-1378493.3056769662</v>
      </c>
    </row>
    <row r="19" spans="1:53" x14ac:dyDescent="0.3">
      <c r="A19" s="26" t="s">
        <v>126</v>
      </c>
      <c r="B19" s="68">
        <v>1379</v>
      </c>
      <c r="C19" s="68">
        <v>1379</v>
      </c>
      <c r="D19" s="68">
        <v>7324</v>
      </c>
      <c r="E19" s="68">
        <v>1510</v>
      </c>
      <c r="F19" s="68">
        <v>7217</v>
      </c>
      <c r="G19" s="68">
        <v>8655</v>
      </c>
      <c r="H19" s="59"/>
      <c r="I19" s="59"/>
      <c r="J19" s="59"/>
      <c r="K19" s="59"/>
      <c r="L19" s="26"/>
      <c r="M19" s="26"/>
      <c r="N19" s="26" t="s">
        <v>123</v>
      </c>
      <c r="O19" s="26">
        <v>4997001</v>
      </c>
      <c r="P19" s="26">
        <v>4135523</v>
      </c>
      <c r="Q19" s="26">
        <v>5305616</v>
      </c>
      <c r="R19" s="26">
        <v>5720810</v>
      </c>
      <c r="S19" s="26">
        <v>5988790</v>
      </c>
      <c r="T19" s="26">
        <v>7280824</v>
      </c>
      <c r="U19" s="26"/>
      <c r="V19" s="108" t="s">
        <v>119</v>
      </c>
      <c r="W19" s="70">
        <v>-189135</v>
      </c>
      <c r="X19" s="70">
        <v>-170716</v>
      </c>
      <c r="Y19" s="70">
        <v>-300591</v>
      </c>
      <c r="Z19" s="70">
        <v>-218923</v>
      </c>
      <c r="AA19" s="70">
        <v>-110839</v>
      </c>
      <c r="AB19" s="70">
        <v>-263887</v>
      </c>
      <c r="AC19" s="26"/>
      <c r="AD19" s="213" t="s">
        <v>119</v>
      </c>
      <c r="AE19" s="181">
        <v>-189135</v>
      </c>
      <c r="AF19" s="181">
        <v>-170716</v>
      </c>
      <c r="AG19" s="181">
        <v>-300591</v>
      </c>
      <c r="AH19" s="181">
        <v>-218923</v>
      </c>
      <c r="AI19" s="181">
        <v>-110839</v>
      </c>
      <c r="AJ19" s="181">
        <v>-263887</v>
      </c>
      <c r="AK19" s="51">
        <f>-(AX14*'Income Statement'!Q$7)</f>
        <v>-325451.10785997671</v>
      </c>
      <c r="AL19" s="51">
        <f>-(AY14*'Income Statement'!R$7)</f>
        <v>-477430.15622504149</v>
      </c>
      <c r="AM19" s="51">
        <f>-(AZ14*'Income Statement'!S$7)</f>
        <v>-497121.22654560779</v>
      </c>
      <c r="AN19" s="262">
        <f>-(BA14*'Income Statement'!T$7)</f>
        <v>-499804.68423281814</v>
      </c>
    </row>
    <row r="20" spans="1:53" ht="15" thickBot="1" x14ac:dyDescent="0.35">
      <c r="A20" s="26" t="s">
        <v>127</v>
      </c>
      <c r="B20" s="68">
        <v>49949</v>
      </c>
      <c r="C20" s="68">
        <v>55284</v>
      </c>
      <c r="D20" s="68">
        <v>18812</v>
      </c>
      <c r="E20" s="68">
        <v>94414</v>
      </c>
      <c r="F20" s="68">
        <v>90745</v>
      </c>
      <c r="G20" s="68">
        <v>109898</v>
      </c>
      <c r="H20" s="59"/>
      <c r="I20" s="59"/>
      <c r="J20" s="59"/>
      <c r="K20" s="59"/>
      <c r="L20" s="26"/>
      <c r="M20" s="26"/>
      <c r="N20" s="26" t="s">
        <v>93</v>
      </c>
      <c r="O20" s="26">
        <v>224783</v>
      </c>
      <c r="P20" s="26">
        <v>259050</v>
      </c>
      <c r="Q20" s="26">
        <v>459934</v>
      </c>
      <c r="R20" s="26">
        <v>468728</v>
      </c>
      <c r="S20" s="26">
        <v>680999</v>
      </c>
      <c r="T20" s="26">
        <v>647220</v>
      </c>
      <c r="U20" s="26"/>
      <c r="V20" s="60" t="s">
        <v>37</v>
      </c>
      <c r="W20" s="53">
        <v>4307875</v>
      </c>
      <c r="X20" s="53">
        <v>3046412</v>
      </c>
      <c r="Y20" s="53">
        <v>4498959</v>
      </c>
      <c r="Z20" s="53">
        <v>5146871</v>
      </c>
      <c r="AA20" s="53">
        <v>4989730</v>
      </c>
      <c r="AB20" s="53">
        <v>6218093</v>
      </c>
      <c r="AC20" s="26"/>
      <c r="AD20" s="215" t="s">
        <v>37</v>
      </c>
      <c r="AE20" s="53">
        <v>4307875</v>
      </c>
      <c r="AF20" s="53">
        <v>3046412</v>
      </c>
      <c r="AG20" s="53">
        <v>4498959</v>
      </c>
      <c r="AH20" s="53">
        <v>5146871</v>
      </c>
      <c r="AI20" s="53">
        <v>4989730</v>
      </c>
      <c r="AJ20" s="53">
        <v>6218093</v>
      </c>
      <c r="AK20" s="71">
        <f>SUM(AK13:AK19)</f>
        <v>7209491.8532449761</v>
      </c>
      <c r="AL20" s="71">
        <f>SUM(AL13:AL19)</f>
        <v>10576177.922487896</v>
      </c>
      <c r="AM20" s="71">
        <f t="shared" ref="AM20:AN20" si="15">SUM(AM13:AM19)</f>
        <v>11012380.496789396</v>
      </c>
      <c r="AN20" s="263">
        <f t="shared" si="15"/>
        <v>11071825.267039785</v>
      </c>
      <c r="AO20" s="62"/>
    </row>
    <row r="21" spans="1:53" x14ac:dyDescent="0.3">
      <c r="A21" s="35" t="s">
        <v>92</v>
      </c>
      <c r="B21" s="111">
        <v>960017</v>
      </c>
      <c r="C21" s="111">
        <v>1080852</v>
      </c>
      <c r="D21" s="111">
        <v>1215500</v>
      </c>
      <c r="E21" s="111">
        <v>814215</v>
      </c>
      <c r="F21" s="111">
        <v>850996</v>
      </c>
      <c r="G21" s="111">
        <v>1300493</v>
      </c>
      <c r="H21" s="59"/>
      <c r="I21" s="59"/>
      <c r="J21" s="59"/>
      <c r="K21" s="59"/>
      <c r="L21" s="26"/>
      <c r="M21" s="26"/>
      <c r="N21" s="107" t="s">
        <v>94</v>
      </c>
      <c r="O21" s="107">
        <v>5221784</v>
      </c>
      <c r="P21" s="107">
        <v>4394573</v>
      </c>
      <c r="Q21" s="107">
        <v>5765550</v>
      </c>
      <c r="R21" s="107">
        <v>6189538</v>
      </c>
      <c r="S21" s="107">
        <v>6669789</v>
      </c>
      <c r="T21" s="107">
        <v>7928044</v>
      </c>
      <c r="U21" s="26"/>
      <c r="V21" s="112" t="s">
        <v>34</v>
      </c>
      <c r="W21" s="113">
        <v>8860893</v>
      </c>
      <c r="X21" s="113">
        <v>8213935</v>
      </c>
      <c r="Y21" s="113">
        <v>9952969</v>
      </c>
      <c r="Z21" s="113">
        <v>13070867</v>
      </c>
      <c r="AA21" s="113">
        <v>16390647</v>
      </c>
      <c r="AB21" s="113">
        <v>20499923</v>
      </c>
      <c r="AC21" s="26"/>
      <c r="AD21" s="216" t="s">
        <v>34</v>
      </c>
      <c r="AE21" s="114">
        <v>8860893</v>
      </c>
      <c r="AF21" s="114">
        <v>8213935</v>
      </c>
      <c r="AG21" s="114">
        <v>9952969</v>
      </c>
      <c r="AH21" s="114">
        <v>13070867</v>
      </c>
      <c r="AI21" s="114">
        <v>16390647</v>
      </c>
      <c r="AJ21" s="217">
        <v>20499923</v>
      </c>
      <c r="AK21" s="284">
        <f>AK12+AK20</f>
        <v>21719475.505646117</v>
      </c>
      <c r="AL21" s="284">
        <f>AL12+AL20</f>
        <v>25940924.903301492</v>
      </c>
      <c r="AM21" s="284">
        <f>AM12+AM20</f>
        <v>27315019.26658655</v>
      </c>
      <c r="AN21" s="264">
        <f>AN12+AN20</f>
        <v>28403568.79438021</v>
      </c>
    </row>
    <row r="22" spans="1:53" ht="15" thickBot="1" x14ac:dyDescent="0.35">
      <c r="A22" s="115" t="s">
        <v>39</v>
      </c>
      <c r="B22" s="116">
        <v>7008335</v>
      </c>
      <c r="C22" s="116">
        <v>7610597</v>
      </c>
      <c r="D22" s="116">
        <v>8210941</v>
      </c>
      <c r="E22" s="116">
        <v>10495768</v>
      </c>
      <c r="F22" s="116">
        <v>14080022</v>
      </c>
      <c r="G22" s="116">
        <v>17841012</v>
      </c>
      <c r="H22" s="59"/>
      <c r="I22" s="59"/>
      <c r="J22" s="59"/>
      <c r="K22" s="59"/>
      <c r="L22" s="26"/>
      <c r="M22" s="26"/>
      <c r="N22" s="26" t="s">
        <v>35</v>
      </c>
      <c r="O22" s="26">
        <v>595773</v>
      </c>
      <c r="P22" s="26">
        <v>501112</v>
      </c>
      <c r="Q22" s="26">
        <v>630061</v>
      </c>
      <c r="R22" s="26">
        <v>739429</v>
      </c>
      <c r="S22" s="26">
        <v>588989</v>
      </c>
      <c r="T22" s="26">
        <v>934934</v>
      </c>
      <c r="U22" s="26"/>
      <c r="V22" s="26" t="s">
        <v>124</v>
      </c>
      <c r="W22" s="66">
        <v>908400</v>
      </c>
      <c r="X22" s="66">
        <v>1023796</v>
      </c>
      <c r="Y22" s="66">
        <v>1188971</v>
      </c>
      <c r="Z22" s="66">
        <v>717819</v>
      </c>
      <c r="AA22" s="66">
        <v>752562</v>
      </c>
      <c r="AB22" s="66">
        <v>1174428</v>
      </c>
      <c r="AC22" s="26"/>
      <c r="AD22" s="54"/>
      <c r="AE22" s="67"/>
      <c r="AF22" s="8">
        <f>(AF21-AE21)/AE21</f>
        <v>-7.3012731335318007E-2</v>
      </c>
      <c r="AG22" s="8">
        <f t="shared" ref="AG22:AJ22" si="16">(AG21-AF21)/AF21</f>
        <v>0.21171752637438693</v>
      </c>
      <c r="AH22" s="8">
        <f t="shared" si="16"/>
        <v>0.313263107721927</v>
      </c>
      <c r="AI22" s="8">
        <f t="shared" si="16"/>
        <v>0.25398315199749183</v>
      </c>
      <c r="AJ22" s="8">
        <f t="shared" si="16"/>
        <v>0.25070859008799345</v>
      </c>
      <c r="AK22" s="4"/>
      <c r="AL22" s="4"/>
      <c r="AM22" s="4"/>
      <c r="AN22" s="265"/>
      <c r="AO22" s="4"/>
    </row>
    <row r="23" spans="1:53" x14ac:dyDescent="0.3">
      <c r="A23" s="26"/>
      <c r="B23" s="68"/>
      <c r="C23" s="68"/>
      <c r="D23" s="68"/>
      <c r="E23" s="68"/>
      <c r="F23" s="68"/>
      <c r="G23" s="68"/>
      <c r="H23" s="59"/>
      <c r="I23" s="59"/>
      <c r="J23" s="59"/>
      <c r="K23" s="59"/>
      <c r="L23" s="26"/>
      <c r="M23" s="26"/>
      <c r="N23" s="26" t="s">
        <v>36</v>
      </c>
      <c r="O23" s="26">
        <v>302078</v>
      </c>
      <c r="P23" s="26">
        <v>242866</v>
      </c>
      <c r="Q23" s="26">
        <v>289416</v>
      </c>
      <c r="R23" s="26">
        <v>330332</v>
      </c>
      <c r="S23" s="26">
        <v>435947</v>
      </c>
      <c r="T23" s="26">
        <v>479617</v>
      </c>
      <c r="U23" s="26"/>
      <c r="V23" s="26" t="s">
        <v>125</v>
      </c>
      <c r="W23" s="68">
        <v>289</v>
      </c>
      <c r="X23" s="68">
        <v>393</v>
      </c>
      <c r="Y23" s="68">
        <v>394</v>
      </c>
      <c r="Z23" s="68">
        <v>472</v>
      </c>
      <c r="AA23" s="68">
        <v>472</v>
      </c>
      <c r="AB23" s="68">
        <v>7512</v>
      </c>
      <c r="AC23" s="26"/>
      <c r="AD23" s="54"/>
      <c r="AE23" s="26"/>
      <c r="AF23" s="26"/>
      <c r="AG23" s="26"/>
      <c r="AH23" s="26"/>
      <c r="AI23" s="26"/>
      <c r="AJ23" s="26"/>
      <c r="AK23" s="51"/>
      <c r="AL23" s="4"/>
      <c r="AM23" s="4"/>
      <c r="AN23" s="265"/>
    </row>
    <row r="24" spans="1:53" ht="15" thickBot="1" x14ac:dyDescent="0.35">
      <c r="A24" s="73" t="s">
        <v>38</v>
      </c>
      <c r="B24" s="105"/>
      <c r="C24" s="105"/>
      <c r="D24" s="105"/>
      <c r="E24" s="105"/>
      <c r="F24" s="105"/>
      <c r="G24" s="105"/>
      <c r="H24" s="59"/>
      <c r="I24" s="59"/>
      <c r="J24" s="59"/>
      <c r="K24" s="59"/>
      <c r="L24" s="26"/>
      <c r="M24" s="26"/>
      <c r="N24" s="35" t="s">
        <v>31</v>
      </c>
      <c r="O24" s="71">
        <v>6119635</v>
      </c>
      <c r="P24" s="71">
        <v>5138551</v>
      </c>
      <c r="Q24" s="71">
        <v>6685027</v>
      </c>
      <c r="R24" s="71">
        <v>7259299</v>
      </c>
      <c r="S24" s="71">
        <v>7694725</v>
      </c>
      <c r="T24" s="71">
        <v>9342595</v>
      </c>
      <c r="U24" s="26"/>
      <c r="V24" s="26" t="s">
        <v>126</v>
      </c>
      <c r="W24" s="68">
        <v>1379</v>
      </c>
      <c r="X24" s="68">
        <v>1379</v>
      </c>
      <c r="Y24" s="68">
        <v>7324</v>
      </c>
      <c r="Z24" s="68">
        <v>1510</v>
      </c>
      <c r="AA24" s="68">
        <v>7217</v>
      </c>
      <c r="AB24" s="68">
        <v>8655</v>
      </c>
      <c r="AC24" s="26"/>
      <c r="AD24" s="192" t="s">
        <v>98</v>
      </c>
      <c r="AE24" s="67">
        <v>28325</v>
      </c>
      <c r="AF24" s="67">
        <v>28325</v>
      </c>
      <c r="AG24" s="67">
        <v>28325</v>
      </c>
      <c r="AH24" s="67">
        <v>28325</v>
      </c>
      <c r="AI24" s="67">
        <v>28325</v>
      </c>
      <c r="AJ24" s="67">
        <v>29450</v>
      </c>
      <c r="AK24" s="67"/>
      <c r="AL24" s="67"/>
      <c r="AM24" s="67"/>
      <c r="AN24" s="137"/>
    </row>
    <row r="25" spans="1:53" x14ac:dyDescent="0.3">
      <c r="A25" s="26" t="s">
        <v>123</v>
      </c>
      <c r="B25" s="68">
        <v>4997001</v>
      </c>
      <c r="C25" s="68">
        <v>4135523</v>
      </c>
      <c r="D25" s="68">
        <v>5305616</v>
      </c>
      <c r="E25" s="68">
        <v>5720810</v>
      </c>
      <c r="F25" s="68">
        <v>5988790</v>
      </c>
      <c r="G25" s="68">
        <v>7280824</v>
      </c>
      <c r="H25" s="59"/>
      <c r="I25" s="59"/>
      <c r="J25" s="59"/>
      <c r="K25" s="59"/>
      <c r="L25" s="26"/>
      <c r="M25" s="26"/>
      <c r="N25" s="117" t="s">
        <v>29</v>
      </c>
      <c r="O25" s="118">
        <v>13401686</v>
      </c>
      <c r="P25" s="118">
        <v>12926246</v>
      </c>
      <c r="Q25" s="118">
        <v>15135565</v>
      </c>
      <c r="R25" s="118">
        <v>17986057</v>
      </c>
      <c r="S25" s="118">
        <v>21998194</v>
      </c>
      <c r="T25" s="118">
        <v>28085251</v>
      </c>
      <c r="U25" s="26"/>
      <c r="V25" s="26" t="s">
        <v>127</v>
      </c>
      <c r="W25" s="68">
        <v>49949</v>
      </c>
      <c r="X25" s="68">
        <v>55284</v>
      </c>
      <c r="Y25" s="68">
        <v>18812</v>
      </c>
      <c r="Z25" s="68">
        <v>94414</v>
      </c>
      <c r="AA25" s="68">
        <v>90745</v>
      </c>
      <c r="AB25" s="68">
        <v>109898</v>
      </c>
      <c r="AC25" s="26"/>
      <c r="AD25" s="192" t="s">
        <v>99</v>
      </c>
      <c r="AE25" s="67">
        <v>-246</v>
      </c>
      <c r="AF25" s="67">
        <v>-189</v>
      </c>
      <c r="AG25" s="67">
        <v>-140</v>
      </c>
      <c r="AH25" s="67">
        <v>-94</v>
      </c>
      <c r="AI25" s="67">
        <v>-58</v>
      </c>
      <c r="AJ25" s="67">
        <v>-26</v>
      </c>
      <c r="AK25" s="67"/>
      <c r="AL25" s="4"/>
      <c r="AM25" s="4"/>
      <c r="AN25" s="265"/>
    </row>
    <row r="26" spans="1:53" x14ac:dyDescent="0.3">
      <c r="A26" s="26" t="s">
        <v>93</v>
      </c>
      <c r="B26" s="68">
        <v>224783</v>
      </c>
      <c r="C26" s="68">
        <v>259050</v>
      </c>
      <c r="D26" s="68">
        <v>459934</v>
      </c>
      <c r="E26" s="68">
        <v>468728</v>
      </c>
      <c r="F26" s="68">
        <v>680999</v>
      </c>
      <c r="G26" s="68">
        <v>647220</v>
      </c>
      <c r="H26" s="59"/>
      <c r="I26" s="59"/>
      <c r="J26" s="59"/>
      <c r="K26" s="59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 t="s">
        <v>33</v>
      </c>
      <c r="W26" s="26">
        <v>273715</v>
      </c>
      <c r="X26" s="26">
        <v>177098</v>
      </c>
      <c r="Y26" s="26">
        <v>239596</v>
      </c>
      <c r="Z26" s="26">
        <v>230990</v>
      </c>
      <c r="AA26" s="26">
        <v>223447</v>
      </c>
      <c r="AB26" s="26">
        <v>901644</v>
      </c>
      <c r="AC26" s="26"/>
      <c r="AD26" s="192" t="s">
        <v>100</v>
      </c>
      <c r="AE26" s="67">
        <v>415286</v>
      </c>
      <c r="AF26" s="67">
        <v>415286</v>
      </c>
      <c r="AG26" s="67">
        <v>415286</v>
      </c>
      <c r="AH26" s="67">
        <v>415286</v>
      </c>
      <c r="AI26" s="67">
        <v>415286</v>
      </c>
      <c r="AJ26" s="67">
        <v>3101961</v>
      </c>
      <c r="AK26" s="51"/>
      <c r="AL26" s="4"/>
      <c r="AM26" s="4"/>
      <c r="AN26" s="265"/>
    </row>
    <row r="27" spans="1:53" ht="15" thickBot="1" x14ac:dyDescent="0.35">
      <c r="A27" s="103" t="s">
        <v>94</v>
      </c>
      <c r="B27" s="104">
        <v>5221784</v>
      </c>
      <c r="C27" s="104">
        <v>4394573</v>
      </c>
      <c r="D27" s="104">
        <v>5765550</v>
      </c>
      <c r="E27" s="104">
        <v>6189538</v>
      </c>
      <c r="F27" s="104">
        <v>6669789</v>
      </c>
      <c r="G27" s="104">
        <v>7928044</v>
      </c>
      <c r="H27" s="59"/>
      <c r="I27" s="59"/>
      <c r="J27" s="59"/>
      <c r="K27" s="59"/>
      <c r="L27" s="26"/>
      <c r="M27" s="26"/>
      <c r="N27" s="26"/>
      <c r="O27" s="51"/>
      <c r="P27" s="51"/>
      <c r="Q27" s="51"/>
      <c r="R27" s="51"/>
      <c r="S27" s="51"/>
      <c r="T27" s="51"/>
      <c r="U27" s="26"/>
      <c r="V27" s="35" t="s">
        <v>27</v>
      </c>
      <c r="W27" s="71">
        <v>1233732</v>
      </c>
      <c r="X27" s="71">
        <v>1257950</v>
      </c>
      <c r="Y27" s="71">
        <v>1455097</v>
      </c>
      <c r="Z27" s="71">
        <v>1045205</v>
      </c>
      <c r="AA27" s="71">
        <v>1074443</v>
      </c>
      <c r="AB27" s="71">
        <v>2202137</v>
      </c>
      <c r="AC27" s="26"/>
      <c r="AD27" s="192" t="s">
        <v>101</v>
      </c>
      <c r="AE27" s="67">
        <v>85673</v>
      </c>
      <c r="AF27" s="67">
        <v>114188</v>
      </c>
      <c r="AG27" s="67">
        <v>153895</v>
      </c>
      <c r="AH27" s="67">
        <v>201508</v>
      </c>
      <c r="AI27" s="67">
        <v>248394</v>
      </c>
      <c r="AJ27" s="67">
        <v>295105</v>
      </c>
      <c r="AK27" s="51"/>
      <c r="AL27" s="4"/>
      <c r="AM27" s="4"/>
      <c r="AN27" s="265"/>
    </row>
    <row r="28" spans="1:53" x14ac:dyDescent="0.3">
      <c r="A28" s="26"/>
      <c r="B28" s="68"/>
      <c r="C28" s="68"/>
      <c r="D28" s="68"/>
      <c r="E28" s="68"/>
      <c r="F28" s="68"/>
      <c r="G28" s="68"/>
      <c r="H28" s="59"/>
      <c r="I28" s="59"/>
      <c r="J28" s="59"/>
      <c r="K28" s="59"/>
      <c r="L28" s="26"/>
      <c r="M28" s="26"/>
      <c r="N28" s="26"/>
      <c r="O28" s="51"/>
      <c r="P28" s="51"/>
      <c r="Q28" s="51"/>
      <c r="R28" s="51"/>
      <c r="S28" s="51"/>
      <c r="T28" s="51"/>
      <c r="U28" s="26"/>
      <c r="V28" s="119" t="s">
        <v>25</v>
      </c>
      <c r="W28" s="120">
        <v>10094625</v>
      </c>
      <c r="X28" s="120">
        <v>9471885</v>
      </c>
      <c r="Y28" s="120">
        <v>11408066</v>
      </c>
      <c r="Z28" s="120">
        <v>14116072</v>
      </c>
      <c r="AA28" s="120">
        <v>17465090</v>
      </c>
      <c r="AB28" s="120">
        <v>22702060</v>
      </c>
      <c r="AC28" s="26"/>
      <c r="AD28" s="218" t="s">
        <v>102</v>
      </c>
      <c r="AE28" s="121">
        <v>529037</v>
      </c>
      <c r="AF28" s="121">
        <v>557610</v>
      </c>
      <c r="AG28" s="121">
        <v>597365</v>
      </c>
      <c r="AH28" s="121">
        <v>645025</v>
      </c>
      <c r="AI28" s="121">
        <v>691947</v>
      </c>
      <c r="AJ28" s="121">
        <v>3426490</v>
      </c>
      <c r="AK28" s="51"/>
      <c r="AL28" s="4"/>
      <c r="AM28" s="4"/>
      <c r="AN28" s="265"/>
    </row>
    <row r="29" spans="1:53" x14ac:dyDescent="0.3">
      <c r="A29" s="73" t="s">
        <v>95</v>
      </c>
      <c r="B29" s="105"/>
      <c r="C29" s="106"/>
      <c r="D29" s="106"/>
      <c r="E29" s="106"/>
      <c r="F29" s="106"/>
      <c r="G29" s="106"/>
      <c r="H29" s="59"/>
      <c r="I29" s="59"/>
      <c r="J29" s="59"/>
      <c r="K29" s="59"/>
      <c r="L29" s="26"/>
      <c r="M29" s="26"/>
      <c r="N29" s="26" t="s">
        <v>98</v>
      </c>
      <c r="O29" s="68">
        <v>28325</v>
      </c>
      <c r="P29" s="68">
        <v>28325</v>
      </c>
      <c r="Q29" s="68">
        <v>28325</v>
      </c>
      <c r="R29" s="68">
        <v>28325</v>
      </c>
      <c r="S29" s="68">
        <v>28325</v>
      </c>
      <c r="T29" s="68">
        <v>29450</v>
      </c>
      <c r="U29" s="26"/>
      <c r="V29" s="26"/>
      <c r="W29" s="26"/>
      <c r="X29" s="26"/>
      <c r="Y29" s="26"/>
      <c r="Z29" s="26"/>
      <c r="AA29" s="26"/>
      <c r="AB29" s="26"/>
      <c r="AC29" s="26"/>
      <c r="AD29" s="192" t="s">
        <v>103</v>
      </c>
      <c r="AE29" s="67">
        <v>6069363</v>
      </c>
      <c r="AF29" s="67">
        <v>7022449</v>
      </c>
      <c r="AG29" s="67">
        <v>8450748</v>
      </c>
      <c r="AH29" s="67">
        <v>8362685</v>
      </c>
      <c r="AI29" s="67">
        <v>9159069</v>
      </c>
      <c r="AJ29" s="67">
        <v>9803859</v>
      </c>
      <c r="AK29" s="51"/>
      <c r="AL29" s="4"/>
      <c r="AM29" s="4"/>
      <c r="AN29" s="265"/>
    </row>
    <row r="30" spans="1:53" x14ac:dyDescent="0.3">
      <c r="A30" s="26" t="s">
        <v>35</v>
      </c>
      <c r="B30" s="68">
        <v>595773</v>
      </c>
      <c r="C30" s="68">
        <v>501112</v>
      </c>
      <c r="D30" s="68">
        <v>630061</v>
      </c>
      <c r="E30" s="68">
        <v>739429</v>
      </c>
      <c r="F30" s="68">
        <v>588989</v>
      </c>
      <c r="G30" s="68">
        <v>934934</v>
      </c>
      <c r="H30" s="59"/>
      <c r="I30" s="59"/>
      <c r="J30" s="59"/>
      <c r="K30" s="59"/>
      <c r="L30" s="26"/>
      <c r="M30" s="26"/>
      <c r="N30" s="26" t="s">
        <v>99</v>
      </c>
      <c r="O30" s="68">
        <v>-246</v>
      </c>
      <c r="P30" s="68">
        <v>-189</v>
      </c>
      <c r="Q30" s="68">
        <v>-140</v>
      </c>
      <c r="R30" s="68">
        <v>-94</v>
      </c>
      <c r="S30" s="68">
        <v>-58</v>
      </c>
      <c r="T30" s="68">
        <v>-26</v>
      </c>
      <c r="U30" s="26"/>
      <c r="V30" s="35"/>
      <c r="W30" s="122"/>
      <c r="X30" s="122"/>
      <c r="Y30" s="122"/>
      <c r="Z30" s="122"/>
      <c r="AA30" s="122"/>
      <c r="AB30" s="26"/>
      <c r="AC30" s="26"/>
      <c r="AD30" s="192" t="s">
        <v>82</v>
      </c>
      <c r="AE30" s="67">
        <v>82432</v>
      </c>
      <c r="AF30" s="67">
        <v>88069</v>
      </c>
      <c r="AG30" s="67">
        <v>91729</v>
      </c>
      <c r="AH30" s="67">
        <v>732391</v>
      </c>
      <c r="AI30" s="67">
        <v>1135886</v>
      </c>
      <c r="AJ30" s="67">
        <v>2252827</v>
      </c>
      <c r="AK30" s="51"/>
      <c r="AL30" s="4"/>
      <c r="AM30" s="4"/>
      <c r="AN30" s="265"/>
    </row>
    <row r="31" spans="1:53" ht="15" thickBot="1" x14ac:dyDescent="0.35">
      <c r="A31" s="26" t="s">
        <v>36</v>
      </c>
      <c r="B31" s="68">
        <v>302078</v>
      </c>
      <c r="C31" s="68">
        <v>242866</v>
      </c>
      <c r="D31" s="68">
        <v>289416</v>
      </c>
      <c r="E31" s="68">
        <v>330332</v>
      </c>
      <c r="F31" s="68">
        <v>435947</v>
      </c>
      <c r="G31" s="68">
        <v>479617</v>
      </c>
      <c r="H31" s="59"/>
      <c r="I31" s="59"/>
      <c r="J31" s="59"/>
      <c r="K31" s="59"/>
      <c r="L31" s="26"/>
      <c r="M31" s="26"/>
      <c r="N31" s="26" t="s">
        <v>100</v>
      </c>
      <c r="O31" s="68">
        <v>415286</v>
      </c>
      <c r="P31" s="68">
        <v>415286</v>
      </c>
      <c r="Q31" s="68">
        <v>415286</v>
      </c>
      <c r="R31" s="68">
        <v>415286</v>
      </c>
      <c r="S31" s="68">
        <v>415286</v>
      </c>
      <c r="T31" s="68">
        <v>3101961</v>
      </c>
      <c r="U31" s="26"/>
      <c r="V31" s="26" t="s">
        <v>98</v>
      </c>
      <c r="W31" s="68">
        <v>28325</v>
      </c>
      <c r="X31" s="68">
        <v>28325</v>
      </c>
      <c r="Y31" s="68">
        <v>28325</v>
      </c>
      <c r="Z31" s="68">
        <v>28325</v>
      </c>
      <c r="AA31" s="68">
        <v>28325</v>
      </c>
      <c r="AB31" s="68">
        <v>29450</v>
      </c>
      <c r="AC31" s="26"/>
      <c r="AD31" s="203" t="s">
        <v>24</v>
      </c>
      <c r="AE31" s="53">
        <v>6680833</v>
      </c>
      <c r="AF31" s="53">
        <v>7668128</v>
      </c>
      <c r="AG31" s="53">
        <v>9139842</v>
      </c>
      <c r="AH31" s="53">
        <v>9740100</v>
      </c>
      <c r="AI31" s="53">
        <v>10986902</v>
      </c>
      <c r="AJ31" s="53">
        <v>15483176</v>
      </c>
      <c r="AK31" s="71">
        <f>AK43-AK42</f>
        <v>17290852.197988905</v>
      </c>
      <c r="AL31" s="71">
        <f t="shared" ref="AL31:AM31" si="17">AL43-AL42</f>
        <v>20651543.738499332</v>
      </c>
      <c r="AM31" s="71">
        <f t="shared" si="17"/>
        <v>21745458.853322212</v>
      </c>
      <c r="AN31" s="263">
        <f>AN43-AN42</f>
        <v>22612052.017157033</v>
      </c>
    </row>
    <row r="32" spans="1:53" x14ac:dyDescent="0.3">
      <c r="A32" s="103" t="s">
        <v>96</v>
      </c>
      <c r="B32" s="104">
        <v>897852</v>
      </c>
      <c r="C32" s="104">
        <v>743978</v>
      </c>
      <c r="D32" s="104">
        <v>919477</v>
      </c>
      <c r="E32" s="104">
        <v>1069761</v>
      </c>
      <c r="F32" s="104">
        <v>1024936</v>
      </c>
      <c r="G32" s="104">
        <v>1414551</v>
      </c>
      <c r="H32" s="59"/>
      <c r="I32" s="59"/>
      <c r="J32" s="59"/>
      <c r="K32" s="59"/>
      <c r="L32" s="26"/>
      <c r="M32" s="26"/>
      <c r="N32" s="26" t="s">
        <v>101</v>
      </c>
      <c r="O32" s="68">
        <v>85673</v>
      </c>
      <c r="P32" s="68">
        <v>114188</v>
      </c>
      <c r="Q32" s="68">
        <v>153895</v>
      </c>
      <c r="R32" s="68">
        <v>201508</v>
      </c>
      <c r="S32" s="68">
        <v>248394</v>
      </c>
      <c r="T32" s="68">
        <v>295105</v>
      </c>
      <c r="U32" s="26"/>
      <c r="V32" s="26" t="s">
        <v>99</v>
      </c>
      <c r="W32" s="68">
        <v>-246</v>
      </c>
      <c r="X32" s="68">
        <v>-189</v>
      </c>
      <c r="Y32" s="68">
        <v>-140</v>
      </c>
      <c r="Z32" s="68">
        <v>-94</v>
      </c>
      <c r="AA32" s="68">
        <v>-58</v>
      </c>
      <c r="AB32" s="68">
        <v>-26</v>
      </c>
      <c r="AC32" s="26"/>
      <c r="AD32" s="192" t="s">
        <v>111</v>
      </c>
      <c r="AE32" s="67">
        <v>2079001</v>
      </c>
      <c r="AF32" s="67">
        <v>811027</v>
      </c>
      <c r="AG32" s="67">
        <v>689927</v>
      </c>
      <c r="AH32" s="67">
        <v>2751570</v>
      </c>
      <c r="AI32" s="67">
        <v>3677627</v>
      </c>
      <c r="AJ32" s="67">
        <v>4906560</v>
      </c>
      <c r="AK32" s="232"/>
      <c r="AL32" s="232"/>
      <c r="AM32" s="232"/>
      <c r="AN32" s="266"/>
    </row>
    <row r="33" spans="1:40" x14ac:dyDescent="0.3">
      <c r="A33" s="26"/>
      <c r="B33" s="68"/>
      <c r="C33" s="68"/>
      <c r="D33" s="68"/>
      <c r="E33" s="68"/>
      <c r="F33" s="68"/>
      <c r="G33" s="68"/>
      <c r="H33" s="59"/>
      <c r="I33" s="59"/>
      <c r="J33" s="59"/>
      <c r="K33" s="59"/>
      <c r="L33" s="26"/>
      <c r="M33" s="26"/>
      <c r="N33" s="107" t="s">
        <v>102</v>
      </c>
      <c r="O33" s="121">
        <v>529037</v>
      </c>
      <c r="P33" s="121">
        <v>557610</v>
      </c>
      <c r="Q33" s="121">
        <v>597365</v>
      </c>
      <c r="R33" s="121">
        <v>645025</v>
      </c>
      <c r="S33" s="121">
        <v>691947</v>
      </c>
      <c r="T33" s="121">
        <v>3426490</v>
      </c>
      <c r="U33" s="26"/>
      <c r="V33" s="26" t="s">
        <v>100</v>
      </c>
      <c r="W33" s="68">
        <v>415286</v>
      </c>
      <c r="X33" s="68">
        <v>415286</v>
      </c>
      <c r="Y33" s="68">
        <v>415286</v>
      </c>
      <c r="Z33" s="68">
        <v>415286</v>
      </c>
      <c r="AA33" s="68">
        <v>415286</v>
      </c>
      <c r="AB33" s="68">
        <v>3101961</v>
      </c>
      <c r="AC33" s="26"/>
      <c r="AD33" s="192" t="s">
        <v>121</v>
      </c>
      <c r="AE33" s="67">
        <v>360556</v>
      </c>
      <c r="AF33" s="67">
        <v>344972</v>
      </c>
      <c r="AG33" s="67">
        <v>329190</v>
      </c>
      <c r="AH33" s="67">
        <v>488871</v>
      </c>
      <c r="AI33" s="67">
        <v>769129</v>
      </c>
      <c r="AJ33" s="67">
        <v>750747</v>
      </c>
      <c r="AK33" s="51"/>
      <c r="AL33" s="4"/>
      <c r="AM33" s="4"/>
      <c r="AN33" s="265"/>
    </row>
    <row r="34" spans="1:40" x14ac:dyDescent="0.3">
      <c r="A34" s="26" t="s">
        <v>33</v>
      </c>
      <c r="B34" s="68">
        <v>273715</v>
      </c>
      <c r="C34" s="68">
        <v>177098</v>
      </c>
      <c r="D34" s="68">
        <v>239596</v>
      </c>
      <c r="E34" s="68">
        <v>230990</v>
      </c>
      <c r="F34" s="68">
        <v>223447</v>
      </c>
      <c r="G34" s="68">
        <v>901644</v>
      </c>
      <c r="H34" s="59"/>
      <c r="I34" s="59"/>
      <c r="J34" s="59"/>
      <c r="K34" s="59"/>
      <c r="L34" s="26"/>
      <c r="M34" s="26"/>
      <c r="N34" s="26" t="s">
        <v>103</v>
      </c>
      <c r="O34" s="67">
        <v>6069363</v>
      </c>
      <c r="P34" s="67">
        <v>7022449</v>
      </c>
      <c r="Q34" s="67">
        <v>8450748</v>
      </c>
      <c r="R34" s="67">
        <v>8362685</v>
      </c>
      <c r="S34" s="67">
        <v>9159069</v>
      </c>
      <c r="T34" s="67">
        <v>9803859</v>
      </c>
      <c r="U34" s="26"/>
      <c r="V34" s="26" t="s">
        <v>101</v>
      </c>
      <c r="W34" s="68">
        <v>85673</v>
      </c>
      <c r="X34" s="68">
        <v>114188</v>
      </c>
      <c r="Y34" s="68">
        <v>153895</v>
      </c>
      <c r="Z34" s="68">
        <v>201508</v>
      </c>
      <c r="AA34" s="68">
        <v>248394</v>
      </c>
      <c r="AB34" s="68">
        <v>295105</v>
      </c>
      <c r="AC34" s="26"/>
      <c r="AD34" s="192" t="s">
        <v>112</v>
      </c>
      <c r="AE34" s="67">
        <v>198613</v>
      </c>
      <c r="AF34" s="67">
        <v>243633</v>
      </c>
      <c r="AG34" s="67">
        <v>748188</v>
      </c>
      <c r="AH34" s="67">
        <v>381539</v>
      </c>
      <c r="AI34" s="67">
        <v>1438435</v>
      </c>
      <c r="AJ34" s="67">
        <v>571274</v>
      </c>
      <c r="AK34" s="51"/>
      <c r="AL34" s="4"/>
      <c r="AM34" s="4"/>
      <c r="AN34" s="265"/>
    </row>
    <row r="35" spans="1:40" ht="15" thickBot="1" x14ac:dyDescent="0.35">
      <c r="A35" s="115" t="s">
        <v>32</v>
      </c>
      <c r="B35" s="116">
        <v>6393351</v>
      </c>
      <c r="C35" s="116">
        <v>5315649</v>
      </c>
      <c r="D35" s="116">
        <v>6924623</v>
      </c>
      <c r="E35" s="116">
        <v>7490289</v>
      </c>
      <c r="F35" s="116">
        <v>7918172</v>
      </c>
      <c r="G35" s="116">
        <v>10244239</v>
      </c>
      <c r="H35" s="59"/>
      <c r="I35" s="59"/>
      <c r="J35" s="59"/>
      <c r="K35" s="59"/>
      <c r="L35" s="26"/>
      <c r="M35" s="26"/>
      <c r="N35" s="26" t="s">
        <v>82</v>
      </c>
      <c r="O35" s="68">
        <v>82432</v>
      </c>
      <c r="P35" s="68">
        <v>88069</v>
      </c>
      <c r="Q35" s="68">
        <v>91729</v>
      </c>
      <c r="R35" s="68">
        <v>732391</v>
      </c>
      <c r="S35" s="68">
        <v>1135886</v>
      </c>
      <c r="T35" s="68">
        <v>2252827</v>
      </c>
      <c r="U35" s="26"/>
      <c r="V35" s="107" t="s">
        <v>102</v>
      </c>
      <c r="W35" s="121">
        <v>529037</v>
      </c>
      <c r="X35" s="121">
        <v>557610</v>
      </c>
      <c r="Y35" s="121">
        <v>597365</v>
      </c>
      <c r="Z35" s="121">
        <v>645025</v>
      </c>
      <c r="AA35" s="121">
        <v>691947</v>
      </c>
      <c r="AB35" s="121">
        <v>3426490</v>
      </c>
      <c r="AC35" s="26"/>
      <c r="AD35" s="192" t="s">
        <v>120</v>
      </c>
      <c r="AE35" s="67">
        <v>0</v>
      </c>
      <c r="AF35" s="67">
        <v>0</v>
      </c>
      <c r="AG35" s="67">
        <v>0</v>
      </c>
      <c r="AH35" s="67">
        <v>140733</v>
      </c>
      <c r="AI35" s="67">
        <v>164567</v>
      </c>
      <c r="AJ35" s="126">
        <v>216419</v>
      </c>
      <c r="AK35" s="51"/>
      <c r="AL35" s="4"/>
      <c r="AM35" s="4"/>
      <c r="AN35" s="265"/>
    </row>
    <row r="36" spans="1:40" ht="15" thickBot="1" x14ac:dyDescent="0.35">
      <c r="A36" s="115" t="s">
        <v>30</v>
      </c>
      <c r="B36" s="116">
        <v>13401686</v>
      </c>
      <c r="C36" s="116">
        <v>12926246</v>
      </c>
      <c r="D36" s="116">
        <v>15135565</v>
      </c>
      <c r="E36" s="116">
        <v>17986057</v>
      </c>
      <c r="F36" s="116">
        <v>21998194</v>
      </c>
      <c r="G36" s="116">
        <v>28085251</v>
      </c>
      <c r="H36" s="59"/>
      <c r="I36" s="59"/>
      <c r="J36" s="59"/>
      <c r="K36" s="59"/>
      <c r="L36" s="26"/>
      <c r="M36" s="26"/>
      <c r="N36" s="35" t="s">
        <v>24</v>
      </c>
      <c r="O36" s="53">
        <v>6680833</v>
      </c>
      <c r="P36" s="53">
        <v>7668128</v>
      </c>
      <c r="Q36" s="53">
        <v>9139842</v>
      </c>
      <c r="R36" s="53">
        <v>9740100</v>
      </c>
      <c r="S36" s="53">
        <v>10986902</v>
      </c>
      <c r="T36" s="53">
        <v>15483176</v>
      </c>
      <c r="U36" s="51"/>
      <c r="V36" s="26" t="s">
        <v>103</v>
      </c>
      <c r="W36" s="67">
        <v>6069363</v>
      </c>
      <c r="X36" s="67">
        <v>7022449</v>
      </c>
      <c r="Y36" s="67">
        <v>8450748</v>
      </c>
      <c r="Z36" s="67">
        <v>8362685</v>
      </c>
      <c r="AA36" s="67">
        <v>9159069</v>
      </c>
      <c r="AB36" s="67">
        <v>9803859</v>
      </c>
      <c r="AC36" s="26"/>
      <c r="AD36" s="192" t="s">
        <v>128</v>
      </c>
      <c r="AE36" s="67">
        <v>775622</v>
      </c>
      <c r="AF36" s="67">
        <v>404125</v>
      </c>
      <c r="AG36" s="67">
        <v>500919</v>
      </c>
      <c r="AH36" s="67">
        <v>613259</v>
      </c>
      <c r="AI36" s="67">
        <v>428430</v>
      </c>
      <c r="AJ36" s="126">
        <v>773884</v>
      </c>
      <c r="AK36" s="51"/>
      <c r="AL36" s="4"/>
      <c r="AM36" s="4"/>
      <c r="AN36" s="265"/>
    </row>
    <row r="37" spans="1:40" x14ac:dyDescent="0.3">
      <c r="A37" s="26"/>
      <c r="B37" s="68"/>
      <c r="C37" s="68"/>
      <c r="D37" s="68"/>
      <c r="E37" s="68"/>
      <c r="F37" s="68"/>
      <c r="G37" s="68"/>
      <c r="H37" s="59"/>
      <c r="I37" s="59"/>
      <c r="J37" s="59"/>
      <c r="K37" s="59"/>
      <c r="L37" s="26"/>
      <c r="M37" s="26"/>
      <c r="N37" s="26" t="s">
        <v>105</v>
      </c>
      <c r="O37" s="51">
        <v>1495301</v>
      </c>
      <c r="P37" s="51">
        <v>1362222</v>
      </c>
      <c r="Q37" s="51">
        <v>1541431</v>
      </c>
      <c r="R37" s="51">
        <v>1757557</v>
      </c>
      <c r="S37" s="51">
        <v>1828109</v>
      </c>
      <c r="T37" s="51">
        <v>2258689</v>
      </c>
      <c r="U37" s="26"/>
      <c r="V37" s="26" t="s">
        <v>82</v>
      </c>
      <c r="W37" s="68">
        <v>82432</v>
      </c>
      <c r="X37" s="68">
        <v>88069</v>
      </c>
      <c r="Y37" s="68">
        <v>91729</v>
      </c>
      <c r="Z37" s="68">
        <v>732391</v>
      </c>
      <c r="AA37" s="68">
        <v>1135886</v>
      </c>
      <c r="AB37" s="68">
        <v>2252827</v>
      </c>
      <c r="AC37" s="26"/>
      <c r="AD37" s="213" t="s">
        <v>124</v>
      </c>
      <c r="AE37" s="219">
        <v>-908400</v>
      </c>
      <c r="AF37" s="219">
        <v>-1023796</v>
      </c>
      <c r="AG37" s="219">
        <v>-1188971</v>
      </c>
      <c r="AH37" s="219">
        <v>-717819</v>
      </c>
      <c r="AI37" s="219">
        <v>-752562</v>
      </c>
      <c r="AJ37" s="219">
        <v>-1174428</v>
      </c>
      <c r="AK37" s="51"/>
      <c r="AL37" s="4"/>
      <c r="AM37" s="4"/>
      <c r="AN37" s="265"/>
    </row>
    <row r="38" spans="1:40" ht="15" thickBot="1" x14ac:dyDescent="0.35">
      <c r="A38" s="26"/>
      <c r="B38" s="68"/>
      <c r="C38" s="68"/>
      <c r="D38" s="68"/>
      <c r="E38" s="68"/>
      <c r="F38" s="68"/>
      <c r="G38" s="68"/>
      <c r="H38" s="59"/>
      <c r="I38" s="59"/>
      <c r="J38" s="59"/>
      <c r="K38" s="59"/>
      <c r="L38" s="26"/>
      <c r="M38" s="26"/>
      <c r="N38" s="35" t="s">
        <v>51</v>
      </c>
      <c r="O38" s="71">
        <v>1495301</v>
      </c>
      <c r="P38" s="71">
        <v>1362222</v>
      </c>
      <c r="Q38" s="71">
        <v>1541431</v>
      </c>
      <c r="R38" s="71">
        <v>1757557</v>
      </c>
      <c r="S38" s="71">
        <v>1828109</v>
      </c>
      <c r="T38" s="71">
        <v>2258689</v>
      </c>
      <c r="U38" s="26"/>
      <c r="V38" s="35" t="s">
        <v>24</v>
      </c>
      <c r="W38" s="53">
        <v>6680833</v>
      </c>
      <c r="X38" s="53">
        <v>7668128</v>
      </c>
      <c r="Y38" s="53">
        <v>9139842</v>
      </c>
      <c r="Z38" s="53">
        <v>9740100</v>
      </c>
      <c r="AA38" s="53">
        <v>10986902</v>
      </c>
      <c r="AB38" s="53">
        <v>15483176</v>
      </c>
      <c r="AC38" s="26"/>
      <c r="AD38" s="213" t="s">
        <v>125</v>
      </c>
      <c r="AE38" s="219">
        <v>-289</v>
      </c>
      <c r="AF38" s="219">
        <v>-393</v>
      </c>
      <c r="AG38" s="219">
        <v>-394</v>
      </c>
      <c r="AH38" s="219">
        <v>-472</v>
      </c>
      <c r="AI38" s="219">
        <v>-472</v>
      </c>
      <c r="AJ38" s="219">
        <v>-7512</v>
      </c>
      <c r="AK38" s="51"/>
      <c r="AL38" s="4"/>
      <c r="AM38" s="4"/>
      <c r="AN38" s="265"/>
    </row>
    <row r="39" spans="1:40" x14ac:dyDescent="0.3">
      <c r="A39" s="26"/>
      <c r="B39" s="68"/>
      <c r="C39" s="68"/>
      <c r="D39" s="68"/>
      <c r="E39" s="68"/>
      <c r="F39" s="68"/>
      <c r="G39" s="68"/>
      <c r="H39" s="59"/>
      <c r="I39" s="59"/>
      <c r="J39" s="59"/>
      <c r="K39" s="59"/>
      <c r="L39" s="26"/>
      <c r="M39" s="26"/>
      <c r="N39" s="26" t="s">
        <v>111</v>
      </c>
      <c r="O39" s="68">
        <v>2079001</v>
      </c>
      <c r="P39" s="68">
        <v>811027</v>
      </c>
      <c r="Q39" s="68">
        <v>689927</v>
      </c>
      <c r="R39" s="68">
        <v>2751570</v>
      </c>
      <c r="S39" s="68">
        <v>3677627</v>
      </c>
      <c r="T39" s="68">
        <v>4906560</v>
      </c>
      <c r="U39" s="26"/>
      <c r="V39" s="26" t="s">
        <v>111</v>
      </c>
      <c r="W39" s="68">
        <v>2079001</v>
      </c>
      <c r="X39" s="68">
        <v>811027</v>
      </c>
      <c r="Y39" s="68">
        <v>689927</v>
      </c>
      <c r="Z39" s="68">
        <v>2751570</v>
      </c>
      <c r="AA39" s="68">
        <v>3677627</v>
      </c>
      <c r="AB39" s="68">
        <v>4906560</v>
      </c>
      <c r="AC39" s="26"/>
      <c r="AD39" s="213" t="s">
        <v>126</v>
      </c>
      <c r="AE39" s="219">
        <v>-1379</v>
      </c>
      <c r="AF39" s="219">
        <v>-1379</v>
      </c>
      <c r="AG39" s="219">
        <v>-7324</v>
      </c>
      <c r="AH39" s="219">
        <v>-1510</v>
      </c>
      <c r="AI39" s="219">
        <v>-7217</v>
      </c>
      <c r="AJ39" s="219">
        <v>-8655</v>
      </c>
      <c r="AK39" s="51"/>
      <c r="AL39" s="4"/>
      <c r="AM39" s="4"/>
      <c r="AN39" s="265"/>
    </row>
    <row r="40" spans="1:40" x14ac:dyDescent="0.3">
      <c r="A40" s="35" t="s">
        <v>28</v>
      </c>
      <c r="B40" s="111"/>
      <c r="C40" s="68"/>
      <c r="D40" s="68"/>
      <c r="E40" s="68"/>
      <c r="F40" s="68"/>
      <c r="G40" s="68"/>
      <c r="H40" s="59"/>
      <c r="I40" s="59"/>
      <c r="J40" s="59"/>
      <c r="K40" s="59"/>
      <c r="L40" s="26"/>
      <c r="M40" s="26"/>
      <c r="N40" s="26" t="s">
        <v>121</v>
      </c>
      <c r="O40" s="68">
        <v>360556</v>
      </c>
      <c r="P40" s="68">
        <v>344972</v>
      </c>
      <c r="Q40" s="68">
        <v>329190</v>
      </c>
      <c r="R40" s="68">
        <v>488871</v>
      </c>
      <c r="S40" s="68">
        <v>769129</v>
      </c>
      <c r="T40" s="68">
        <v>750747</v>
      </c>
      <c r="U40" s="26"/>
      <c r="V40" s="26" t="s">
        <v>121</v>
      </c>
      <c r="W40" s="68">
        <v>360556</v>
      </c>
      <c r="X40" s="68">
        <v>344972</v>
      </c>
      <c r="Y40" s="68">
        <v>329190</v>
      </c>
      <c r="Z40" s="68">
        <v>488871</v>
      </c>
      <c r="AA40" s="68">
        <v>769129</v>
      </c>
      <c r="AB40" s="68">
        <v>750747</v>
      </c>
      <c r="AC40" s="26"/>
      <c r="AD40" s="213" t="s">
        <v>127</v>
      </c>
      <c r="AE40" s="219">
        <v>-49949</v>
      </c>
      <c r="AF40" s="219">
        <v>-55284</v>
      </c>
      <c r="AG40" s="219">
        <v>-18812</v>
      </c>
      <c r="AH40" s="219">
        <v>-94414</v>
      </c>
      <c r="AI40" s="219">
        <v>-90745</v>
      </c>
      <c r="AJ40" s="219">
        <v>-109898</v>
      </c>
      <c r="AK40" s="51"/>
      <c r="AL40" s="4"/>
      <c r="AM40" s="4"/>
      <c r="AN40" s="265"/>
    </row>
    <row r="41" spans="1:40" ht="15" thickBot="1" x14ac:dyDescent="0.35">
      <c r="A41" s="103" t="s">
        <v>26</v>
      </c>
      <c r="B41" s="104"/>
      <c r="C41" s="123"/>
      <c r="D41" s="123"/>
      <c r="E41" s="123"/>
      <c r="F41" s="123"/>
      <c r="G41" s="123"/>
      <c r="H41" s="59"/>
      <c r="I41" s="59"/>
      <c r="J41" s="59"/>
      <c r="K41" s="59"/>
      <c r="L41" s="26"/>
      <c r="M41" s="26"/>
      <c r="N41" s="26" t="s">
        <v>112</v>
      </c>
      <c r="O41" s="68">
        <v>198613</v>
      </c>
      <c r="P41" s="68">
        <v>243633</v>
      </c>
      <c r="Q41" s="68">
        <v>748188</v>
      </c>
      <c r="R41" s="68">
        <v>381539</v>
      </c>
      <c r="S41" s="68">
        <v>1438435</v>
      </c>
      <c r="T41" s="68">
        <v>571274</v>
      </c>
      <c r="U41" s="26"/>
      <c r="V41" s="26" t="s">
        <v>112</v>
      </c>
      <c r="W41" s="68">
        <v>198613</v>
      </c>
      <c r="X41" s="68">
        <v>243633</v>
      </c>
      <c r="Y41" s="68">
        <v>748188</v>
      </c>
      <c r="Z41" s="68">
        <v>381539</v>
      </c>
      <c r="AA41" s="68">
        <v>1438435</v>
      </c>
      <c r="AB41" s="68">
        <v>571274</v>
      </c>
      <c r="AC41" s="26"/>
      <c r="AD41" s="213" t="s">
        <v>33</v>
      </c>
      <c r="AE41" s="219">
        <v>-273715</v>
      </c>
      <c r="AF41" s="219">
        <v>-177098</v>
      </c>
      <c r="AG41" s="219">
        <v>-239596</v>
      </c>
      <c r="AH41" s="219">
        <v>-230990</v>
      </c>
      <c r="AI41" s="219">
        <v>-223447</v>
      </c>
      <c r="AJ41" s="219">
        <v>-901644</v>
      </c>
      <c r="AK41" s="235"/>
      <c r="AL41" s="235"/>
      <c r="AM41" s="235"/>
      <c r="AN41" s="236"/>
    </row>
    <row r="42" spans="1:40" ht="15" thickBot="1" x14ac:dyDescent="0.35">
      <c r="A42" s="35" t="s">
        <v>97</v>
      </c>
      <c r="B42" s="111"/>
      <c r="C42" s="68"/>
      <c r="D42" s="68"/>
      <c r="E42" s="68"/>
      <c r="F42" s="68"/>
      <c r="G42" s="68"/>
      <c r="H42" s="59"/>
      <c r="I42" s="59"/>
      <c r="J42" s="59"/>
      <c r="K42" s="59"/>
      <c r="L42" s="26"/>
      <c r="M42" s="26"/>
      <c r="N42" s="26" t="s">
        <v>120</v>
      </c>
      <c r="O42" s="68">
        <v>0</v>
      </c>
      <c r="P42" s="68">
        <v>0</v>
      </c>
      <c r="Q42" s="68">
        <v>0</v>
      </c>
      <c r="R42" s="68">
        <v>140733</v>
      </c>
      <c r="S42" s="68">
        <v>164567</v>
      </c>
      <c r="T42" s="76">
        <v>216419</v>
      </c>
      <c r="U42" s="26"/>
      <c r="V42" s="26" t="s">
        <v>120</v>
      </c>
      <c r="W42" s="68">
        <v>0</v>
      </c>
      <c r="X42" s="68">
        <v>0</v>
      </c>
      <c r="Y42" s="68">
        <v>0</v>
      </c>
      <c r="Z42" s="68">
        <v>140733</v>
      </c>
      <c r="AA42" s="68">
        <v>164567</v>
      </c>
      <c r="AB42" s="76">
        <v>216419</v>
      </c>
      <c r="AC42" s="26"/>
      <c r="AD42" s="203" t="s">
        <v>292</v>
      </c>
      <c r="AE42" s="124">
        <v>2180060</v>
      </c>
      <c r="AF42" s="124">
        <v>545807</v>
      </c>
      <c r="AG42" s="124">
        <v>813127</v>
      </c>
      <c r="AH42" s="124">
        <v>3330767</v>
      </c>
      <c r="AI42" s="124">
        <v>5403745</v>
      </c>
      <c r="AJ42" s="124">
        <v>5016747</v>
      </c>
      <c r="AK42" s="71">
        <f>AX16*AK21+AK41</f>
        <v>4428623.3076572139</v>
      </c>
      <c r="AL42" s="71">
        <f>AY16*AL21+AL41</f>
        <v>5289381.1648021601</v>
      </c>
      <c r="AM42" s="71">
        <f>AZ16*AM21+AM41</f>
        <v>5569560.4132643379</v>
      </c>
      <c r="AN42" s="263">
        <f>BA16*AN21+AN41</f>
        <v>5791516.7772231754</v>
      </c>
    </row>
    <row r="43" spans="1:40" ht="15" thickBot="1" x14ac:dyDescent="0.35">
      <c r="A43" s="26" t="s">
        <v>98</v>
      </c>
      <c r="B43" s="68">
        <v>28325</v>
      </c>
      <c r="C43" s="68">
        <v>28325</v>
      </c>
      <c r="D43" s="68">
        <v>28325</v>
      </c>
      <c r="E43" s="68">
        <v>28325</v>
      </c>
      <c r="F43" s="68">
        <v>28325</v>
      </c>
      <c r="G43" s="68">
        <v>29450</v>
      </c>
      <c r="H43" s="59"/>
      <c r="I43" s="59"/>
      <c r="J43" s="59"/>
      <c r="K43" s="59"/>
      <c r="L43" s="26"/>
      <c r="M43" s="26"/>
      <c r="N43" s="26" t="s">
        <v>128</v>
      </c>
      <c r="O43" s="68">
        <v>775622</v>
      </c>
      <c r="P43" s="68">
        <v>404125</v>
      </c>
      <c r="Q43" s="68">
        <v>500919</v>
      </c>
      <c r="R43" s="68">
        <v>613259</v>
      </c>
      <c r="S43" s="68">
        <v>428430</v>
      </c>
      <c r="T43" s="76">
        <v>773884</v>
      </c>
      <c r="U43" s="26"/>
      <c r="V43" s="26" t="s">
        <v>128</v>
      </c>
      <c r="W43" s="68">
        <v>775622</v>
      </c>
      <c r="X43" s="68">
        <v>404125</v>
      </c>
      <c r="Y43" s="68">
        <v>500919</v>
      </c>
      <c r="Z43" s="68">
        <v>613259</v>
      </c>
      <c r="AA43" s="68">
        <v>428430</v>
      </c>
      <c r="AB43" s="76">
        <v>773884</v>
      </c>
      <c r="AC43" s="26"/>
      <c r="AD43" s="207" t="s">
        <v>293</v>
      </c>
      <c r="AE43" s="220">
        <v>8860893</v>
      </c>
      <c r="AF43" s="220">
        <v>8213935</v>
      </c>
      <c r="AG43" s="220">
        <v>9952969</v>
      </c>
      <c r="AH43" s="220">
        <v>13070867</v>
      </c>
      <c r="AI43" s="220">
        <v>16390647</v>
      </c>
      <c r="AJ43" s="220">
        <v>20499923</v>
      </c>
      <c r="AK43" s="267">
        <f>AK21</f>
        <v>21719475.505646117</v>
      </c>
      <c r="AL43" s="267">
        <f t="shared" ref="AL43:AN43" si="18">AL21</f>
        <v>25940924.903301492</v>
      </c>
      <c r="AM43" s="267">
        <f t="shared" si="18"/>
        <v>27315019.26658655</v>
      </c>
      <c r="AN43" s="268">
        <f t="shared" si="18"/>
        <v>28403568.79438021</v>
      </c>
    </row>
    <row r="44" spans="1:40" ht="15" thickBot="1" x14ac:dyDescent="0.35">
      <c r="A44" s="26" t="s">
        <v>99</v>
      </c>
      <c r="B44" s="68">
        <v>-246</v>
      </c>
      <c r="C44" s="68">
        <v>-189</v>
      </c>
      <c r="D44" s="68">
        <v>-140</v>
      </c>
      <c r="E44" s="68">
        <v>-94</v>
      </c>
      <c r="F44" s="68">
        <v>-58</v>
      </c>
      <c r="G44" s="68">
        <v>-26</v>
      </c>
      <c r="H44" s="59"/>
      <c r="I44" s="59"/>
      <c r="J44" s="59"/>
      <c r="K44" s="59"/>
      <c r="L44" s="26"/>
      <c r="M44" s="26"/>
      <c r="N44" s="35" t="s">
        <v>295</v>
      </c>
      <c r="O44" s="71">
        <v>3413792</v>
      </c>
      <c r="P44" s="71">
        <v>1803757</v>
      </c>
      <c r="Q44" s="71">
        <v>2268224</v>
      </c>
      <c r="R44" s="71">
        <v>4375972</v>
      </c>
      <c r="S44" s="71">
        <v>6478188</v>
      </c>
      <c r="T44" s="71">
        <v>7218884</v>
      </c>
      <c r="U44" s="26"/>
      <c r="V44" s="35" t="s">
        <v>295</v>
      </c>
      <c r="W44" s="71">
        <v>3413792</v>
      </c>
      <c r="X44" s="71">
        <v>1803757</v>
      </c>
      <c r="Y44" s="71">
        <v>2268224</v>
      </c>
      <c r="Z44" s="71">
        <v>4375972</v>
      </c>
      <c r="AA44" s="71">
        <v>6478188</v>
      </c>
      <c r="AB44" s="71">
        <v>7218884</v>
      </c>
      <c r="AC44" s="26"/>
      <c r="AD44" s="26"/>
      <c r="AE44" s="4"/>
      <c r="AF44" s="26"/>
      <c r="AG44" s="26"/>
      <c r="AH44" s="26"/>
      <c r="AI44" s="26"/>
      <c r="AJ44" s="51"/>
      <c r="AK44" s="26"/>
    </row>
    <row r="45" spans="1:40" x14ac:dyDescent="0.3">
      <c r="A45" s="26" t="s">
        <v>100</v>
      </c>
      <c r="B45" s="68">
        <v>415286</v>
      </c>
      <c r="C45" s="68">
        <v>415286</v>
      </c>
      <c r="D45" s="68">
        <v>415286</v>
      </c>
      <c r="E45" s="68">
        <v>415286</v>
      </c>
      <c r="F45" s="68">
        <v>415286</v>
      </c>
      <c r="G45" s="68">
        <v>3101961</v>
      </c>
      <c r="H45" s="59"/>
      <c r="I45" s="59"/>
      <c r="J45" s="59"/>
      <c r="K45" s="59"/>
      <c r="L45" s="26"/>
      <c r="M45" s="26"/>
      <c r="N45" s="26" t="s">
        <v>53</v>
      </c>
      <c r="O45" s="68">
        <v>1199402</v>
      </c>
      <c r="P45" s="68">
        <v>1248975</v>
      </c>
      <c r="Q45" s="68">
        <v>1194760</v>
      </c>
      <c r="R45" s="68">
        <v>1305050</v>
      </c>
      <c r="S45" s="68">
        <v>2056323</v>
      </c>
      <c r="T45" s="76">
        <v>2317308</v>
      </c>
      <c r="U45" s="26"/>
      <c r="V45" s="119" t="s">
        <v>294</v>
      </c>
      <c r="W45" s="125">
        <v>10094625</v>
      </c>
      <c r="X45" s="125">
        <v>9471885</v>
      </c>
      <c r="Y45" s="125">
        <v>11408066</v>
      </c>
      <c r="Z45" s="125">
        <v>14116072</v>
      </c>
      <c r="AA45" s="125">
        <v>17465090</v>
      </c>
      <c r="AB45" s="125">
        <v>22702060</v>
      </c>
      <c r="AC45" s="26"/>
      <c r="AD45" s="26"/>
      <c r="AE45" s="51"/>
      <c r="AF45" s="51"/>
      <c r="AG45" s="51"/>
      <c r="AH45" s="51"/>
      <c r="AI45" s="51"/>
      <c r="AJ45" s="51"/>
      <c r="AK45" s="26"/>
    </row>
    <row r="46" spans="1:40" x14ac:dyDescent="0.3">
      <c r="A46" s="26" t="s">
        <v>101</v>
      </c>
      <c r="B46" s="68">
        <v>85673</v>
      </c>
      <c r="C46" s="68">
        <v>114188</v>
      </c>
      <c r="D46" s="68">
        <v>153895</v>
      </c>
      <c r="E46" s="68">
        <v>201508</v>
      </c>
      <c r="F46" s="68">
        <v>248394</v>
      </c>
      <c r="G46" s="68">
        <v>295105</v>
      </c>
      <c r="H46" s="59"/>
      <c r="I46" s="59"/>
      <c r="J46" s="59"/>
      <c r="K46" s="59"/>
      <c r="L46" s="26"/>
      <c r="M46" s="26"/>
      <c r="N46" s="26" t="s">
        <v>118</v>
      </c>
      <c r="O46" s="68">
        <v>423223</v>
      </c>
      <c r="P46" s="68">
        <v>672448</v>
      </c>
      <c r="Q46" s="68">
        <v>690717</v>
      </c>
      <c r="R46" s="68">
        <v>588455</v>
      </c>
      <c r="S46" s="68">
        <v>537833</v>
      </c>
      <c r="T46" s="76">
        <v>543307</v>
      </c>
      <c r="U46" s="26"/>
      <c r="V46" s="26"/>
      <c r="W46" s="51"/>
      <c r="X46" s="51"/>
      <c r="Y46" s="51"/>
      <c r="Z46" s="51"/>
      <c r="AA46" s="51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40" x14ac:dyDescent="0.3">
      <c r="A47" s="103" t="s">
        <v>102</v>
      </c>
      <c r="B47" s="104">
        <v>529037</v>
      </c>
      <c r="C47" s="104">
        <v>557610</v>
      </c>
      <c r="D47" s="104">
        <v>597365</v>
      </c>
      <c r="E47" s="104">
        <v>645025</v>
      </c>
      <c r="F47" s="104">
        <v>691947</v>
      </c>
      <c r="G47" s="104">
        <v>3426490</v>
      </c>
      <c r="H47" s="59"/>
      <c r="I47" s="59"/>
      <c r="J47" s="59"/>
      <c r="K47" s="59"/>
      <c r="L47" s="26"/>
      <c r="M47" s="26"/>
      <c r="N47" s="26" t="s">
        <v>119</v>
      </c>
      <c r="O47" s="67">
        <v>189135</v>
      </c>
      <c r="P47" s="67">
        <v>170716</v>
      </c>
      <c r="Q47" s="67">
        <v>300591</v>
      </c>
      <c r="R47" s="67">
        <v>218923</v>
      </c>
      <c r="S47" s="67">
        <v>110839</v>
      </c>
      <c r="T47" s="126">
        <v>263887</v>
      </c>
      <c r="U47" s="26"/>
      <c r="V47" s="26"/>
      <c r="W47" s="51"/>
      <c r="X47" s="51"/>
      <c r="Y47" s="51"/>
      <c r="Z47" s="51"/>
      <c r="AA47" s="51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40" ht="15" thickBot="1" x14ac:dyDescent="0.35">
      <c r="A48" s="26"/>
      <c r="B48" s="68"/>
      <c r="C48" s="68"/>
      <c r="D48" s="68"/>
      <c r="E48" s="68"/>
      <c r="F48" s="68"/>
      <c r="G48" s="68"/>
      <c r="H48" s="59"/>
      <c r="I48" s="59"/>
      <c r="J48" s="59"/>
      <c r="K48" s="59"/>
      <c r="L48" s="26"/>
      <c r="M48" s="26"/>
      <c r="N48" s="35" t="s">
        <v>52</v>
      </c>
      <c r="O48" s="71">
        <v>1811760</v>
      </c>
      <c r="P48" s="71">
        <v>2092139</v>
      </c>
      <c r="Q48" s="71">
        <v>2186068</v>
      </c>
      <c r="R48" s="71">
        <v>2112428</v>
      </c>
      <c r="S48" s="71">
        <v>2704995</v>
      </c>
      <c r="T48" s="71">
        <v>3124502</v>
      </c>
      <c r="U48" s="26"/>
      <c r="V48" s="26"/>
      <c r="W48" s="51"/>
      <c r="X48" s="51"/>
      <c r="Y48" s="51"/>
      <c r="Z48" s="51"/>
      <c r="AA48" s="51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1:37" x14ac:dyDescent="0.3">
      <c r="A49" s="73" t="s">
        <v>103</v>
      </c>
      <c r="B49" s="105"/>
      <c r="C49" s="106"/>
      <c r="D49" s="106"/>
      <c r="E49" s="106"/>
      <c r="F49" s="106"/>
      <c r="G49" s="106"/>
      <c r="H49" s="59"/>
      <c r="I49" s="59"/>
      <c r="J49" s="59"/>
      <c r="K49" s="59"/>
      <c r="L49" s="26"/>
      <c r="M49" s="26"/>
      <c r="N49" s="117" t="s">
        <v>296</v>
      </c>
      <c r="O49" s="118">
        <v>13401686</v>
      </c>
      <c r="P49" s="118">
        <v>12926246</v>
      </c>
      <c r="Q49" s="118">
        <v>15135565</v>
      </c>
      <c r="R49" s="118">
        <v>17986057</v>
      </c>
      <c r="S49" s="118">
        <v>21998194</v>
      </c>
      <c r="T49" s="118">
        <v>28085251</v>
      </c>
      <c r="U49" s="26"/>
      <c r="V49" s="26"/>
      <c r="W49" s="79">
        <f>W38/W21</f>
        <v>0.75396836413666202</v>
      </c>
      <c r="X49" s="79">
        <f t="shared" ref="X49:AB49" si="19">X38/X21</f>
        <v>0.93355109335537723</v>
      </c>
      <c r="Y49" s="79">
        <f t="shared" si="19"/>
        <v>0.91830307117403864</v>
      </c>
      <c r="Z49" s="79">
        <f t="shared" si="19"/>
        <v>0.74517627637095529</v>
      </c>
      <c r="AA49" s="79">
        <f t="shared" si="19"/>
        <v>0.67031533288466283</v>
      </c>
      <c r="AB49" s="79">
        <f t="shared" si="19"/>
        <v>0.75527971495307566</v>
      </c>
      <c r="AC49" s="26"/>
      <c r="AD49" s="184" t="s">
        <v>490</v>
      </c>
      <c r="AE49" s="370"/>
      <c r="AF49" s="370"/>
      <c r="AG49" s="370"/>
      <c r="AH49" s="370"/>
      <c r="AI49" s="370"/>
      <c r="AJ49" s="371"/>
      <c r="AK49" s="26"/>
    </row>
    <row r="50" spans="1:37" x14ac:dyDescent="0.3">
      <c r="A50" s="26" t="s">
        <v>103</v>
      </c>
      <c r="B50" s="68">
        <v>6069363</v>
      </c>
      <c r="C50" s="68">
        <v>7022449</v>
      </c>
      <c r="D50" s="68">
        <v>8450748</v>
      </c>
      <c r="E50" s="68">
        <v>8362685</v>
      </c>
      <c r="F50" s="68">
        <v>9159069</v>
      </c>
      <c r="G50" s="68">
        <v>9803859</v>
      </c>
      <c r="H50" s="59"/>
      <c r="I50" s="59"/>
      <c r="J50" s="59"/>
      <c r="K50" s="59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AC50" s="26"/>
      <c r="AD50" s="192" t="s">
        <v>2</v>
      </c>
      <c r="AE50" s="28">
        <v>2016</v>
      </c>
      <c r="AF50" s="28">
        <v>2017</v>
      </c>
      <c r="AG50" s="28">
        <v>2018</v>
      </c>
      <c r="AH50" s="28">
        <v>2019</v>
      </c>
      <c r="AI50" s="28">
        <v>2020</v>
      </c>
      <c r="AJ50" s="351">
        <v>2021</v>
      </c>
      <c r="AK50" s="26"/>
    </row>
    <row r="51" spans="1:37" x14ac:dyDescent="0.3">
      <c r="A51" s="73" t="s">
        <v>104</v>
      </c>
      <c r="B51" s="105">
        <v>6598400</v>
      </c>
      <c r="C51" s="105">
        <v>7580059</v>
      </c>
      <c r="D51" s="105">
        <v>9048113</v>
      </c>
      <c r="E51" s="105">
        <v>9007710</v>
      </c>
      <c r="F51" s="105">
        <v>9851016</v>
      </c>
      <c r="G51" s="105">
        <v>13230349</v>
      </c>
      <c r="H51" s="34"/>
      <c r="I51" s="34"/>
      <c r="J51" s="34"/>
      <c r="K51" s="34"/>
      <c r="L51" s="34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40">
        <f t="shared" ref="W51:AB51" si="20">W38/(W38+W44)</f>
        <v>0.66182082048614976</v>
      </c>
      <c r="X51" s="40">
        <f t="shared" si="20"/>
        <v>0.80956726142684377</v>
      </c>
      <c r="Y51" s="40">
        <f t="shared" si="20"/>
        <v>0.8011736608115696</v>
      </c>
      <c r="Z51" s="40">
        <f t="shared" si="20"/>
        <v>0.69000073108156434</v>
      </c>
      <c r="AA51" s="40">
        <f t="shared" si="20"/>
        <v>0.62907789195475083</v>
      </c>
      <c r="AB51" s="40">
        <f t="shared" si="20"/>
        <v>0.6820163456532139</v>
      </c>
      <c r="AC51" s="26"/>
      <c r="AD51" s="54" t="s">
        <v>489</v>
      </c>
      <c r="AE51" s="51">
        <f>AE12</f>
        <v>4553018</v>
      </c>
      <c r="AF51" s="51">
        <f t="shared" ref="AF51:AJ51" si="21">AF12</f>
        <v>5167523</v>
      </c>
      <c r="AG51" s="51">
        <f t="shared" si="21"/>
        <v>5454010</v>
      </c>
      <c r="AH51" s="51">
        <f t="shared" si="21"/>
        <v>7923996</v>
      </c>
      <c r="AI51" s="51">
        <f t="shared" si="21"/>
        <v>11400917</v>
      </c>
      <c r="AJ51" s="262">
        <f t="shared" si="21"/>
        <v>14281830</v>
      </c>
      <c r="AK51" s="26"/>
    </row>
    <row r="52" spans="1:37" ht="15" thickBot="1" x14ac:dyDescent="0.35">
      <c r="A52" s="26"/>
      <c r="B52" s="68"/>
      <c r="C52" s="68"/>
      <c r="D52" s="68"/>
      <c r="E52" s="68"/>
      <c r="F52" s="68"/>
      <c r="G52" s="68"/>
      <c r="H52" s="30"/>
      <c r="I52" s="30"/>
      <c r="J52" s="30"/>
      <c r="K52" s="30"/>
      <c r="L52" s="3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7">
        <f>1-W51</f>
        <v>0.33817917951385024</v>
      </c>
      <c r="X52" s="27">
        <f t="shared" ref="X52:AB52" si="22">1-X51</f>
        <v>0.19043273857315623</v>
      </c>
      <c r="Y52" s="27">
        <f t="shared" si="22"/>
        <v>0.1988263391884304</v>
      </c>
      <c r="Z52" s="27">
        <f t="shared" si="22"/>
        <v>0.30999926891843566</v>
      </c>
      <c r="AA52" s="27">
        <f t="shared" si="22"/>
        <v>0.37092210804524917</v>
      </c>
      <c r="AB52" s="27">
        <f t="shared" si="22"/>
        <v>0.3179836543467861</v>
      </c>
      <c r="AC52" s="26"/>
      <c r="AD52" s="54" t="s">
        <v>37</v>
      </c>
      <c r="AE52" s="51">
        <f>AE20</f>
        <v>4307875</v>
      </c>
      <c r="AF52" s="51">
        <f t="shared" ref="AF52:AJ52" si="23">AF20</f>
        <v>3046412</v>
      </c>
      <c r="AG52" s="51">
        <f t="shared" si="23"/>
        <v>4498959</v>
      </c>
      <c r="AH52" s="51">
        <f t="shared" si="23"/>
        <v>5146871</v>
      </c>
      <c r="AI52" s="51">
        <f t="shared" si="23"/>
        <v>4989730</v>
      </c>
      <c r="AJ52" s="262">
        <f t="shared" si="23"/>
        <v>6218093</v>
      </c>
      <c r="AK52" s="26"/>
    </row>
    <row r="53" spans="1:37" x14ac:dyDescent="0.3">
      <c r="A53" s="26" t="s">
        <v>82</v>
      </c>
      <c r="B53" s="68">
        <v>82432</v>
      </c>
      <c r="C53" s="68">
        <v>88069</v>
      </c>
      <c r="D53" s="68">
        <v>91729</v>
      </c>
      <c r="E53" s="68">
        <v>732391</v>
      </c>
      <c r="F53" s="68">
        <v>1135886</v>
      </c>
      <c r="G53" s="68">
        <v>2252827</v>
      </c>
      <c r="H53" s="34"/>
      <c r="I53" s="34"/>
      <c r="J53" s="34"/>
      <c r="K53" s="34"/>
      <c r="L53" s="34"/>
      <c r="M53" s="26"/>
      <c r="N53" s="184" t="s">
        <v>490</v>
      </c>
      <c r="O53" s="370"/>
      <c r="P53" s="370"/>
      <c r="Q53" s="370"/>
      <c r="R53" s="370"/>
      <c r="S53" s="370"/>
      <c r="T53" s="371"/>
      <c r="U53" s="26"/>
      <c r="V53" s="26"/>
      <c r="W53" s="26"/>
      <c r="X53" s="26"/>
      <c r="Y53" s="26"/>
      <c r="Z53" s="26"/>
      <c r="AA53" s="26"/>
      <c r="AB53" s="26"/>
      <c r="AC53" s="26"/>
      <c r="AD53" s="61" t="s">
        <v>54</v>
      </c>
      <c r="AE53" s="62">
        <f>AE21</f>
        <v>8860893</v>
      </c>
      <c r="AF53" s="62">
        <f t="shared" ref="AF53:AJ53" si="24">AF21</f>
        <v>8213935</v>
      </c>
      <c r="AG53" s="62">
        <f t="shared" si="24"/>
        <v>9952969</v>
      </c>
      <c r="AH53" s="62">
        <f t="shared" si="24"/>
        <v>13070867</v>
      </c>
      <c r="AI53" s="62">
        <f t="shared" si="24"/>
        <v>16390647</v>
      </c>
      <c r="AJ53" s="354">
        <f t="shared" si="24"/>
        <v>20499923</v>
      </c>
      <c r="AK53" s="26"/>
    </row>
    <row r="54" spans="1:37" ht="15" thickBot="1" x14ac:dyDescent="0.35">
      <c r="A54" s="115" t="s">
        <v>24</v>
      </c>
      <c r="B54" s="116">
        <v>6680833</v>
      </c>
      <c r="C54" s="116">
        <v>7668128</v>
      </c>
      <c r="D54" s="116">
        <v>9139842</v>
      </c>
      <c r="E54" s="116">
        <v>9740100</v>
      </c>
      <c r="F54" s="116">
        <v>10986902</v>
      </c>
      <c r="G54" s="116">
        <v>15483176</v>
      </c>
      <c r="H54" s="59"/>
      <c r="I54" s="59"/>
      <c r="J54" s="59"/>
      <c r="K54" s="59"/>
      <c r="L54" s="59"/>
      <c r="M54" s="81"/>
      <c r="N54" s="192" t="s">
        <v>2</v>
      </c>
      <c r="O54" s="28">
        <v>2016</v>
      </c>
      <c r="P54" s="28">
        <v>2017</v>
      </c>
      <c r="Q54" s="28">
        <v>2018</v>
      </c>
      <c r="R54" s="28">
        <v>2019</v>
      </c>
      <c r="S54" s="28">
        <v>2020</v>
      </c>
      <c r="T54" s="351">
        <v>2021</v>
      </c>
      <c r="U54" s="26"/>
      <c r="V54" s="26"/>
      <c r="W54" s="26"/>
      <c r="X54" s="26"/>
      <c r="Y54" s="26"/>
      <c r="Z54" s="26"/>
      <c r="AA54" s="26"/>
      <c r="AB54" s="26"/>
      <c r="AC54" s="26"/>
      <c r="AD54" s="54"/>
      <c r="AE54" s="26"/>
      <c r="AF54" s="26"/>
      <c r="AG54" s="26"/>
      <c r="AH54" s="26"/>
      <c r="AI54" s="26"/>
      <c r="AJ54" s="55"/>
      <c r="AK54" s="26"/>
    </row>
    <row r="55" spans="1:37" x14ac:dyDescent="0.3">
      <c r="A55" s="26"/>
      <c r="B55" s="68"/>
      <c r="C55" s="68"/>
      <c r="D55" s="68"/>
      <c r="E55" s="68"/>
      <c r="F55" s="68"/>
      <c r="G55" s="68"/>
      <c r="H55" s="127"/>
      <c r="I55" s="127"/>
      <c r="J55" s="127"/>
      <c r="K55" s="127"/>
      <c r="L55" s="127"/>
      <c r="M55" s="26"/>
      <c r="N55" s="54" t="s">
        <v>485</v>
      </c>
      <c r="O55" s="51">
        <f t="shared" ref="O55:T55" si="25">O12+O24</f>
        <v>12167954</v>
      </c>
      <c r="P55" s="51">
        <f t="shared" si="25"/>
        <v>11668296</v>
      </c>
      <c r="Q55" s="51">
        <f t="shared" si="25"/>
        <v>13680468</v>
      </c>
      <c r="R55" s="51">
        <f t="shared" si="25"/>
        <v>16940852</v>
      </c>
      <c r="S55" s="51">
        <f t="shared" si="25"/>
        <v>20923751</v>
      </c>
      <c r="T55" s="262">
        <f t="shared" si="25"/>
        <v>25883114</v>
      </c>
      <c r="U55" s="26"/>
      <c r="V55" s="26"/>
      <c r="W55" s="26"/>
      <c r="X55" s="26"/>
      <c r="Y55" s="26"/>
      <c r="Z55" s="26"/>
      <c r="AA55" s="26"/>
      <c r="AB55" s="26"/>
      <c r="AC55" s="26"/>
      <c r="AD55" s="54" t="s">
        <v>58</v>
      </c>
      <c r="AE55" s="51">
        <f>AE31</f>
        <v>6680833</v>
      </c>
      <c r="AF55" s="51">
        <f t="shared" ref="AF55:AJ55" si="26">AF31</f>
        <v>7668128</v>
      </c>
      <c r="AG55" s="51">
        <f t="shared" si="26"/>
        <v>9139842</v>
      </c>
      <c r="AH55" s="51">
        <f t="shared" si="26"/>
        <v>9740100</v>
      </c>
      <c r="AI55" s="51">
        <f t="shared" si="26"/>
        <v>10986902</v>
      </c>
      <c r="AJ55" s="262">
        <f t="shared" si="26"/>
        <v>15483176</v>
      </c>
      <c r="AK55" s="26"/>
    </row>
    <row r="56" spans="1:37" x14ac:dyDescent="0.3">
      <c r="A56" s="26"/>
      <c r="B56" s="68"/>
      <c r="C56" s="68"/>
      <c r="D56" s="68"/>
      <c r="E56" s="68"/>
      <c r="F56" s="68"/>
      <c r="G56" s="68"/>
      <c r="H56" s="128"/>
      <c r="I56" s="128"/>
      <c r="J56" s="128"/>
      <c r="K56" s="128"/>
      <c r="L56" s="128"/>
      <c r="M56" s="26"/>
      <c r="N56" s="54" t="s">
        <v>486</v>
      </c>
      <c r="O56" s="51">
        <f t="shared" ref="O56:T56" si="27">O18</f>
        <v>1233732</v>
      </c>
      <c r="P56" s="51">
        <f t="shared" si="27"/>
        <v>1257950</v>
      </c>
      <c r="Q56" s="51">
        <f t="shared" si="27"/>
        <v>1455097</v>
      </c>
      <c r="R56" s="51">
        <f t="shared" si="27"/>
        <v>1045205</v>
      </c>
      <c r="S56" s="51">
        <f t="shared" si="27"/>
        <v>1074443</v>
      </c>
      <c r="T56" s="262">
        <f t="shared" si="27"/>
        <v>2202137</v>
      </c>
      <c r="U56" s="26"/>
      <c r="V56" s="26"/>
      <c r="W56" s="26"/>
      <c r="X56" s="26"/>
      <c r="Y56" s="26"/>
      <c r="Z56" s="26"/>
      <c r="AA56" s="26"/>
      <c r="AB56" s="26"/>
      <c r="AC56" s="26"/>
      <c r="AD56" s="54" t="s">
        <v>352</v>
      </c>
      <c r="AE56" s="51">
        <f>AE42</f>
        <v>2180060</v>
      </c>
      <c r="AF56" s="51">
        <f t="shared" ref="AF56:AJ56" si="28">AF42</f>
        <v>545807</v>
      </c>
      <c r="AG56" s="51">
        <f t="shared" si="28"/>
        <v>813127</v>
      </c>
      <c r="AH56" s="51">
        <f t="shared" si="28"/>
        <v>3330767</v>
      </c>
      <c r="AI56" s="51">
        <f t="shared" si="28"/>
        <v>5403745</v>
      </c>
      <c r="AJ56" s="262">
        <f t="shared" si="28"/>
        <v>5016747</v>
      </c>
      <c r="AK56" s="26"/>
    </row>
    <row r="57" spans="1:37" ht="15" thickBot="1" x14ac:dyDescent="0.35">
      <c r="A57" s="73" t="s">
        <v>23</v>
      </c>
      <c r="B57" s="105"/>
      <c r="C57" s="106"/>
      <c r="D57" s="106"/>
      <c r="E57" s="106"/>
      <c r="F57" s="106"/>
      <c r="G57" s="106"/>
      <c r="H57" s="59"/>
      <c r="I57" s="59"/>
      <c r="J57" s="59"/>
      <c r="K57" s="59"/>
      <c r="L57" s="59"/>
      <c r="M57" s="26"/>
      <c r="N57" s="61" t="s">
        <v>63</v>
      </c>
      <c r="O57" s="62">
        <f>SUM(O55:O56)</f>
        <v>13401686</v>
      </c>
      <c r="P57" s="62">
        <f t="shared" ref="P57:T57" si="29">SUM(P55:P56)</f>
        <v>12926246</v>
      </c>
      <c r="Q57" s="62">
        <f t="shared" si="29"/>
        <v>15135565</v>
      </c>
      <c r="R57" s="62">
        <f t="shared" si="29"/>
        <v>17986057</v>
      </c>
      <c r="S57" s="62">
        <f t="shared" si="29"/>
        <v>21998194</v>
      </c>
      <c r="T57" s="354">
        <f t="shared" si="29"/>
        <v>28085251</v>
      </c>
      <c r="U57" s="26"/>
      <c r="V57" s="26"/>
      <c r="W57" s="26"/>
      <c r="X57" s="26"/>
      <c r="Y57" s="26"/>
      <c r="Z57" s="26"/>
      <c r="AA57" s="26"/>
      <c r="AB57" s="26"/>
      <c r="AC57" s="26"/>
      <c r="AD57" s="353" t="s">
        <v>63</v>
      </c>
      <c r="AE57" s="71">
        <f>SUM(AE55:AE56)</f>
        <v>8860893</v>
      </c>
      <c r="AF57" s="71">
        <f t="shared" ref="AF57:AJ57" si="30">SUM(AF55:AF56)</f>
        <v>8213935</v>
      </c>
      <c r="AG57" s="71">
        <f t="shared" si="30"/>
        <v>9952969</v>
      </c>
      <c r="AH57" s="71">
        <f t="shared" si="30"/>
        <v>13070867</v>
      </c>
      <c r="AI57" s="71">
        <f t="shared" si="30"/>
        <v>16390647</v>
      </c>
      <c r="AJ57" s="263">
        <f t="shared" si="30"/>
        <v>20499923</v>
      </c>
      <c r="AK57" s="26"/>
    </row>
    <row r="58" spans="1:37" x14ac:dyDescent="0.3">
      <c r="A58" s="35" t="s">
        <v>22</v>
      </c>
      <c r="B58" s="111"/>
      <c r="C58" s="68"/>
      <c r="D58" s="68"/>
      <c r="E58" s="68"/>
      <c r="F58" s="68"/>
      <c r="G58" s="68"/>
      <c r="H58" s="59"/>
      <c r="I58" s="59"/>
      <c r="J58" s="59"/>
      <c r="K58" s="59"/>
      <c r="L58" s="59"/>
      <c r="M58" s="26"/>
      <c r="N58" s="54"/>
      <c r="O58" s="26"/>
      <c r="P58" s="26"/>
      <c r="Q58" s="26"/>
      <c r="R58" s="26"/>
      <c r="S58" s="26"/>
      <c r="T58" s="55"/>
      <c r="U58" s="26"/>
      <c r="V58" s="26"/>
      <c r="W58" s="26"/>
      <c r="X58" s="26"/>
      <c r="Y58" s="26"/>
      <c r="Z58" s="26"/>
      <c r="AA58" s="26"/>
      <c r="AB58" s="26"/>
      <c r="AC58" s="26"/>
      <c r="AK58" s="26"/>
    </row>
    <row r="59" spans="1:37" x14ac:dyDescent="0.3">
      <c r="A59" s="26" t="s">
        <v>105</v>
      </c>
      <c r="B59" s="68">
        <v>1495301</v>
      </c>
      <c r="C59" s="68">
        <v>1362222</v>
      </c>
      <c r="D59" s="68">
        <v>1541431</v>
      </c>
      <c r="E59" s="68">
        <v>1757557</v>
      </c>
      <c r="F59" s="68">
        <v>1828109</v>
      </c>
      <c r="G59" s="68">
        <v>2258689</v>
      </c>
      <c r="H59" s="26"/>
      <c r="I59" s="26"/>
      <c r="J59" s="26"/>
      <c r="K59" s="26"/>
      <c r="L59" s="26"/>
      <c r="M59" s="26"/>
      <c r="N59" s="54" t="s">
        <v>58</v>
      </c>
      <c r="O59" s="51">
        <f t="shared" ref="O59:T59" si="31">O36</f>
        <v>6680833</v>
      </c>
      <c r="P59" s="51">
        <f t="shared" si="31"/>
        <v>7668128</v>
      </c>
      <c r="Q59" s="51">
        <f t="shared" si="31"/>
        <v>9139842</v>
      </c>
      <c r="R59" s="51">
        <f t="shared" si="31"/>
        <v>9740100</v>
      </c>
      <c r="S59" s="51">
        <f t="shared" si="31"/>
        <v>10986902</v>
      </c>
      <c r="T59" s="262">
        <f t="shared" si="31"/>
        <v>15483176</v>
      </c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</row>
    <row r="60" spans="1:37" x14ac:dyDescent="0.3">
      <c r="A60" s="26" t="s">
        <v>111</v>
      </c>
      <c r="B60" s="68">
        <v>2079001</v>
      </c>
      <c r="C60" s="68">
        <v>811027</v>
      </c>
      <c r="D60" s="68">
        <v>689927</v>
      </c>
      <c r="E60" s="68">
        <v>2751570</v>
      </c>
      <c r="F60" s="68">
        <v>3677627</v>
      </c>
      <c r="G60" s="68">
        <v>4906560</v>
      </c>
      <c r="H60" s="26"/>
      <c r="I60" s="26"/>
      <c r="J60" s="26"/>
      <c r="K60" s="26"/>
      <c r="L60" s="26"/>
      <c r="M60" s="26"/>
      <c r="N60" s="54" t="s">
        <v>487</v>
      </c>
      <c r="O60" s="51">
        <f t="shared" ref="O60:T60" si="32">O38+O48</f>
        <v>3307061</v>
      </c>
      <c r="P60" s="51">
        <f t="shared" si="32"/>
        <v>3454361</v>
      </c>
      <c r="Q60" s="51">
        <f t="shared" si="32"/>
        <v>3727499</v>
      </c>
      <c r="R60" s="51">
        <f t="shared" si="32"/>
        <v>3869985</v>
      </c>
      <c r="S60" s="51">
        <f t="shared" si="32"/>
        <v>4533104</v>
      </c>
      <c r="T60" s="262">
        <f t="shared" si="32"/>
        <v>5383191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</row>
    <row r="61" spans="1:37" x14ac:dyDescent="0.3">
      <c r="A61" s="26" t="s">
        <v>121</v>
      </c>
      <c r="B61" s="68">
        <v>360556</v>
      </c>
      <c r="C61" s="68">
        <v>344972</v>
      </c>
      <c r="D61" s="68">
        <v>329190</v>
      </c>
      <c r="E61" s="68">
        <v>488871</v>
      </c>
      <c r="F61" s="68">
        <v>769129</v>
      </c>
      <c r="G61" s="68">
        <v>750747</v>
      </c>
      <c r="H61" s="26"/>
      <c r="I61" s="26"/>
      <c r="J61" s="26"/>
      <c r="K61" s="26"/>
      <c r="L61" s="26"/>
      <c r="M61" s="26"/>
      <c r="N61" s="54" t="s">
        <v>488</v>
      </c>
      <c r="O61" s="51">
        <f t="shared" ref="O61:T61" si="33">O44</f>
        <v>3413792</v>
      </c>
      <c r="P61" s="51">
        <f t="shared" si="33"/>
        <v>1803757</v>
      </c>
      <c r="Q61" s="51">
        <f t="shared" si="33"/>
        <v>2268224</v>
      </c>
      <c r="R61" s="51">
        <f t="shared" si="33"/>
        <v>4375972</v>
      </c>
      <c r="S61" s="51">
        <f t="shared" si="33"/>
        <v>6478188</v>
      </c>
      <c r="T61" s="262">
        <f t="shared" si="33"/>
        <v>7218884</v>
      </c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</row>
    <row r="62" spans="1:37" ht="15" thickBot="1" x14ac:dyDescent="0.35">
      <c r="A62" s="103" t="s">
        <v>21</v>
      </c>
      <c r="B62" s="104">
        <v>3934858</v>
      </c>
      <c r="C62" s="104">
        <v>2518221</v>
      </c>
      <c r="D62" s="104">
        <v>2560548</v>
      </c>
      <c r="E62" s="104">
        <v>4997999</v>
      </c>
      <c r="F62" s="104">
        <v>6274865</v>
      </c>
      <c r="G62" s="104">
        <v>7915996</v>
      </c>
      <c r="H62" s="26"/>
      <c r="I62" s="26"/>
      <c r="J62" s="26"/>
      <c r="K62" s="26"/>
      <c r="L62" s="26"/>
      <c r="M62" s="26"/>
      <c r="N62" s="353" t="s">
        <v>63</v>
      </c>
      <c r="O62" s="71">
        <f>SUM(O59:O61)</f>
        <v>13401686</v>
      </c>
      <c r="P62" s="71">
        <f t="shared" ref="P62:T62" si="34">SUM(P59:P61)</f>
        <v>12926246</v>
      </c>
      <c r="Q62" s="71">
        <f t="shared" si="34"/>
        <v>15135565</v>
      </c>
      <c r="R62" s="71">
        <f t="shared" si="34"/>
        <v>17986057</v>
      </c>
      <c r="S62" s="71">
        <f t="shared" si="34"/>
        <v>21998194</v>
      </c>
      <c r="T62" s="263">
        <f t="shared" si="34"/>
        <v>28085251</v>
      </c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</row>
    <row r="63" spans="1:37" x14ac:dyDescent="0.3">
      <c r="A63" s="26"/>
      <c r="B63" s="68"/>
      <c r="C63" s="68"/>
      <c r="D63" s="68"/>
      <c r="E63" s="68"/>
      <c r="F63" s="68"/>
      <c r="G63" s="68"/>
      <c r="H63" s="26"/>
      <c r="I63" s="26"/>
      <c r="J63" s="26"/>
      <c r="K63" s="26"/>
      <c r="L63" s="26"/>
      <c r="M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</row>
    <row r="64" spans="1:37" x14ac:dyDescent="0.3">
      <c r="A64" s="35" t="s">
        <v>20</v>
      </c>
      <c r="B64" s="111"/>
      <c r="C64" s="111"/>
      <c r="D64" s="111"/>
      <c r="E64" s="111"/>
      <c r="F64" s="111"/>
      <c r="G64" s="111"/>
      <c r="H64" s="26"/>
      <c r="I64" s="26"/>
      <c r="J64" s="26"/>
      <c r="K64" s="26"/>
      <c r="L64" s="26"/>
      <c r="M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</row>
    <row r="65" spans="1:37" x14ac:dyDescent="0.3">
      <c r="A65" s="26" t="s">
        <v>112</v>
      </c>
      <c r="B65" s="68">
        <v>198613</v>
      </c>
      <c r="C65" s="68">
        <v>243633</v>
      </c>
      <c r="D65" s="68">
        <v>748188</v>
      </c>
      <c r="E65" s="68">
        <v>381539</v>
      </c>
      <c r="F65" s="68">
        <v>1438435</v>
      </c>
      <c r="G65" s="68">
        <v>571274</v>
      </c>
      <c r="H65" s="26"/>
      <c r="I65" s="26"/>
      <c r="J65" s="26"/>
      <c r="K65" s="26"/>
      <c r="L65" s="26"/>
      <c r="M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</row>
    <row r="66" spans="1:37" x14ac:dyDescent="0.3">
      <c r="A66" s="26" t="s">
        <v>120</v>
      </c>
      <c r="B66" s="68">
        <v>0</v>
      </c>
      <c r="C66" s="68">
        <v>0</v>
      </c>
      <c r="D66" s="68">
        <v>0</v>
      </c>
      <c r="E66" s="68">
        <v>140733</v>
      </c>
      <c r="F66" s="68">
        <v>164567</v>
      </c>
      <c r="G66" s="76">
        <v>216419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</row>
    <row r="67" spans="1:37" x14ac:dyDescent="0.3">
      <c r="A67" s="26" t="s">
        <v>53</v>
      </c>
      <c r="B67" s="68">
        <v>1199402</v>
      </c>
      <c r="C67" s="68">
        <v>1248975</v>
      </c>
      <c r="D67" s="68">
        <v>1194760</v>
      </c>
      <c r="E67" s="68">
        <v>1305050</v>
      </c>
      <c r="F67" s="68">
        <v>2056323</v>
      </c>
      <c r="G67" s="76">
        <v>2317308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</row>
    <row r="68" spans="1:37" x14ac:dyDescent="0.3">
      <c r="A68" s="26" t="s">
        <v>118</v>
      </c>
      <c r="B68" s="68">
        <v>423223</v>
      </c>
      <c r="C68" s="68">
        <v>672448</v>
      </c>
      <c r="D68" s="68">
        <v>690717</v>
      </c>
      <c r="E68" s="68">
        <v>588455</v>
      </c>
      <c r="F68" s="68">
        <v>537833</v>
      </c>
      <c r="G68" s="76">
        <v>543307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</row>
    <row r="69" spans="1:37" x14ac:dyDescent="0.3">
      <c r="A69" s="26" t="s">
        <v>119</v>
      </c>
      <c r="B69" s="68">
        <v>189135</v>
      </c>
      <c r="C69" s="68">
        <v>170716</v>
      </c>
      <c r="D69" s="68">
        <v>300591</v>
      </c>
      <c r="E69" s="68">
        <v>218923</v>
      </c>
      <c r="F69" s="68">
        <v>110839</v>
      </c>
      <c r="G69" s="76">
        <v>263887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</row>
    <row r="70" spans="1:37" x14ac:dyDescent="0.3">
      <c r="A70" s="26" t="s">
        <v>128</v>
      </c>
      <c r="B70" s="68">
        <v>775622</v>
      </c>
      <c r="C70" s="68">
        <v>404125</v>
      </c>
      <c r="D70" s="68">
        <v>500919</v>
      </c>
      <c r="E70" s="68">
        <v>613259</v>
      </c>
      <c r="F70" s="68">
        <v>428430</v>
      </c>
      <c r="G70" s="76">
        <v>773884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</row>
    <row r="71" spans="1:37" ht="15" thickBot="1" x14ac:dyDescent="0.35">
      <c r="A71" s="115" t="s">
        <v>19</v>
      </c>
      <c r="B71" s="116">
        <v>2785995</v>
      </c>
      <c r="C71" s="116">
        <v>2739897</v>
      </c>
      <c r="D71" s="116">
        <v>3435174</v>
      </c>
      <c r="E71" s="116">
        <v>3247958</v>
      </c>
      <c r="F71" s="116">
        <v>4736427</v>
      </c>
      <c r="G71" s="116">
        <v>4686079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</row>
    <row r="72" spans="1:37" ht="15" thickBot="1" x14ac:dyDescent="0.35">
      <c r="A72" s="115" t="s">
        <v>18</v>
      </c>
      <c r="B72" s="116">
        <v>6720853</v>
      </c>
      <c r="C72" s="116">
        <v>5258118</v>
      </c>
      <c r="D72" s="116">
        <v>5995721</v>
      </c>
      <c r="E72" s="116">
        <v>8245956</v>
      </c>
      <c r="F72" s="116">
        <v>11011292</v>
      </c>
      <c r="G72" s="116">
        <v>12602075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</row>
    <row r="73" spans="1:37" ht="15" thickBot="1" x14ac:dyDescent="0.35">
      <c r="A73" s="115" t="s">
        <v>17</v>
      </c>
      <c r="B73" s="116">
        <v>13401686</v>
      </c>
      <c r="C73" s="116">
        <v>12926246</v>
      </c>
      <c r="D73" s="116">
        <v>15135565</v>
      </c>
      <c r="E73" s="116">
        <v>17986057</v>
      </c>
      <c r="F73" s="116">
        <v>21998194</v>
      </c>
      <c r="G73" s="116">
        <v>28085251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</row>
    <row r="74" spans="1:37" x14ac:dyDescent="0.3">
      <c r="A74" s="26"/>
      <c r="B74" s="49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</row>
    <row r="75" spans="1:37" x14ac:dyDescent="0.3">
      <c r="A75" s="26"/>
      <c r="B75" s="49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</row>
    <row r="76" spans="1:37" x14ac:dyDescent="0.3">
      <c r="A76" s="26"/>
      <c r="B76" s="49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</row>
    <row r="77" spans="1:37" x14ac:dyDescent="0.3">
      <c r="A77" s="26"/>
      <c r="B77" s="49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</row>
    <row r="78" spans="1:37" x14ac:dyDescent="0.3">
      <c r="A78" s="26"/>
      <c r="B78" s="49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</row>
    <row r="79" spans="1:37" x14ac:dyDescent="0.3">
      <c r="A79" s="26"/>
      <c r="B79" s="49"/>
      <c r="C79" s="26"/>
      <c r="D79" s="26"/>
      <c r="E79" s="129"/>
      <c r="F79" s="129"/>
      <c r="G79" s="129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</row>
    <row r="80" spans="1:37" x14ac:dyDescent="0.3">
      <c r="A80" s="26"/>
      <c r="B80" s="49"/>
      <c r="C80" s="26"/>
      <c r="D80" s="26"/>
      <c r="E80" s="129"/>
      <c r="F80" s="129"/>
      <c r="G80" s="129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</row>
    <row r="81" spans="1:37" x14ac:dyDescent="0.3">
      <c r="A81" s="26"/>
      <c r="B81" s="49"/>
      <c r="C81" s="26"/>
      <c r="D81" s="26"/>
      <c r="E81" s="26"/>
      <c r="F81" s="129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</row>
    <row r="82" spans="1:37" x14ac:dyDescent="0.3">
      <c r="A82" s="26"/>
      <c r="B82" s="49"/>
      <c r="C82" s="26"/>
      <c r="D82" s="26"/>
      <c r="E82" s="26"/>
      <c r="F82" s="130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</row>
    <row r="83" spans="1:37" x14ac:dyDescent="0.3">
      <c r="A83" s="26"/>
      <c r="B83" s="49"/>
      <c r="C83" s="26"/>
      <c r="D83" s="26"/>
      <c r="E83" s="26"/>
      <c r="F83" s="59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</row>
    <row r="84" spans="1:37" x14ac:dyDescent="0.3">
      <c r="A84" s="26"/>
      <c r="B84" s="49"/>
      <c r="C84" s="26"/>
      <c r="D84" s="130"/>
      <c r="E84" s="130"/>
      <c r="F84" s="130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</row>
    <row r="85" spans="1:37" x14ac:dyDescent="0.3">
      <c r="A85" s="26"/>
      <c r="B85" s="49"/>
      <c r="C85" s="59"/>
      <c r="D85" s="59"/>
      <c r="E85" s="59"/>
      <c r="F85" s="59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</row>
    <row r="86" spans="1:37" x14ac:dyDescent="0.3">
      <c r="D86" s="7"/>
      <c r="E86" s="7"/>
      <c r="F86" s="7"/>
    </row>
    <row r="87" spans="1:37" x14ac:dyDescent="0.3">
      <c r="C87" s="6"/>
      <c r="D87" s="6"/>
      <c r="E87" s="6"/>
      <c r="F87" s="6"/>
    </row>
    <row r="88" spans="1:37" x14ac:dyDescent="0.3">
      <c r="C88" s="5"/>
      <c r="D88" s="5"/>
      <c r="E88" s="5"/>
      <c r="F88" s="5"/>
    </row>
    <row r="89" spans="1:37" x14ac:dyDescent="0.3">
      <c r="D89" s="5"/>
      <c r="E89" s="5"/>
      <c r="F89" s="5"/>
    </row>
  </sheetData>
  <mergeCells count="9">
    <mergeCell ref="O53:T53"/>
    <mergeCell ref="AE49:AJ49"/>
    <mergeCell ref="C1:F1"/>
    <mergeCell ref="AX4:BA4"/>
    <mergeCell ref="AK3:AN3"/>
    <mergeCell ref="AK9:AK10"/>
    <mergeCell ref="AL9:AL10"/>
    <mergeCell ref="AM9:AM10"/>
    <mergeCell ref="AN9:AN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CF25B-1607-434E-9E7F-76EADB22ADC6}">
  <dimension ref="A1:T55"/>
  <sheetViews>
    <sheetView topLeftCell="A10" zoomScale="74" zoomScaleNormal="74" workbookViewId="0">
      <selection activeCell="A39" sqref="A39:XFD39"/>
    </sheetView>
  </sheetViews>
  <sheetFormatPr defaultColWidth="8.77734375" defaultRowHeight="14.4" x14ac:dyDescent="0.3"/>
  <cols>
    <col min="1" max="1" width="58.77734375" bestFit="1" customWidth="1"/>
    <col min="2" max="2" width="12.109375" customWidth="1"/>
    <col min="3" max="3" width="10.77734375" customWidth="1"/>
    <col min="4" max="4" width="11.33203125" bestFit="1" customWidth="1"/>
    <col min="5" max="5" width="11.109375" bestFit="1" customWidth="1"/>
    <col min="6" max="6" width="11.109375" customWidth="1"/>
    <col min="7" max="7" width="12.77734375" bestFit="1" customWidth="1"/>
    <col min="10" max="10" width="11.33203125" customWidth="1"/>
    <col min="11" max="12" width="12.6640625" bestFit="1" customWidth="1"/>
    <col min="13" max="13" width="66.44140625" customWidth="1"/>
    <col min="14" max="14" width="12.6640625" bestFit="1" customWidth="1"/>
    <col min="15" max="15" width="12.6640625" customWidth="1"/>
    <col min="16" max="16" width="12.6640625" bestFit="1" customWidth="1"/>
    <col min="17" max="17" width="15.44140625" bestFit="1" customWidth="1"/>
    <col min="18" max="18" width="12.77734375" customWidth="1"/>
    <col min="19" max="19" width="14.33203125" customWidth="1"/>
  </cols>
  <sheetData>
    <row r="1" spans="1:20" x14ac:dyDescent="0.3">
      <c r="A1" s="26"/>
      <c r="B1" s="381" t="s">
        <v>178</v>
      </c>
      <c r="C1" s="382"/>
      <c r="D1" s="382"/>
      <c r="E1" s="382"/>
      <c r="F1" s="382"/>
      <c r="G1" s="383"/>
      <c r="H1" s="26"/>
      <c r="I1" s="26"/>
      <c r="J1" s="26"/>
      <c r="K1" s="26"/>
      <c r="L1" s="26"/>
      <c r="T1" s="26"/>
    </row>
    <row r="2" spans="1:20" ht="15" thickBot="1" x14ac:dyDescent="0.35">
      <c r="A2" s="26"/>
      <c r="B2" s="61">
        <v>2016</v>
      </c>
      <c r="C2" s="35">
        <v>2017</v>
      </c>
      <c r="D2" s="35">
        <v>2018</v>
      </c>
      <c r="E2" s="35">
        <v>2019</v>
      </c>
      <c r="F2" s="35">
        <v>2020</v>
      </c>
      <c r="G2" s="131">
        <v>2021</v>
      </c>
      <c r="H2" s="26"/>
      <c r="I2" s="26"/>
      <c r="J2" s="26"/>
      <c r="K2" s="26"/>
      <c r="L2" s="26"/>
      <c r="T2" s="26"/>
    </row>
    <row r="3" spans="1:20" x14ac:dyDescent="0.3">
      <c r="A3" s="132" t="s">
        <v>134</v>
      </c>
      <c r="B3" s="133"/>
      <c r="C3" s="134"/>
      <c r="D3" s="134"/>
      <c r="E3" s="134"/>
      <c r="F3" s="134"/>
      <c r="G3" s="135"/>
      <c r="H3" s="26"/>
      <c r="I3" s="26"/>
      <c r="J3" s="26"/>
      <c r="K3" s="26"/>
      <c r="L3" s="26"/>
      <c r="T3" s="26"/>
    </row>
    <row r="4" spans="1:20" x14ac:dyDescent="0.3">
      <c r="A4" s="54" t="s">
        <v>135</v>
      </c>
      <c r="B4" s="136">
        <v>3342080</v>
      </c>
      <c r="C4" s="67">
        <v>2856201</v>
      </c>
      <c r="D4" s="67">
        <v>4452568</v>
      </c>
      <c r="E4" s="67">
        <v>3158365</v>
      </c>
      <c r="F4" s="67">
        <v>2571645</v>
      </c>
      <c r="G4" s="137">
        <v>3386942</v>
      </c>
      <c r="H4" s="26"/>
      <c r="I4" s="26"/>
      <c r="J4" s="26"/>
      <c r="K4" s="26"/>
      <c r="L4" s="26"/>
      <c r="T4" s="26"/>
    </row>
    <row r="5" spans="1:20" x14ac:dyDescent="0.3">
      <c r="A5" s="54" t="s">
        <v>136</v>
      </c>
      <c r="B5" s="136">
        <v>-291049</v>
      </c>
      <c r="C5" s="67">
        <v>-423223</v>
      </c>
      <c r="D5" s="67">
        <v>-672778</v>
      </c>
      <c r="E5" s="67">
        <v>-690717</v>
      </c>
      <c r="F5" s="67">
        <v>-588455</v>
      </c>
      <c r="G5" s="137">
        <v>-548952</v>
      </c>
      <c r="H5" s="26"/>
      <c r="I5" s="26"/>
      <c r="J5" s="26"/>
      <c r="K5" s="26"/>
      <c r="L5" s="26"/>
      <c r="T5" s="26"/>
    </row>
    <row r="6" spans="1:20" x14ac:dyDescent="0.3">
      <c r="A6" s="54" t="s">
        <v>137</v>
      </c>
      <c r="B6" s="136">
        <v>358020</v>
      </c>
      <c r="C6" s="67">
        <v>418612</v>
      </c>
      <c r="D6" s="67">
        <v>487778</v>
      </c>
      <c r="E6" s="67">
        <v>718448</v>
      </c>
      <c r="F6" s="67">
        <v>812093</v>
      </c>
      <c r="G6" s="137">
        <v>806680</v>
      </c>
      <c r="H6" s="26"/>
      <c r="I6" s="26"/>
      <c r="J6" s="26"/>
      <c r="K6" s="26"/>
      <c r="L6" s="26"/>
      <c r="T6" s="26"/>
    </row>
    <row r="7" spans="1:20" x14ac:dyDescent="0.3">
      <c r="A7" s="54" t="s">
        <v>138</v>
      </c>
      <c r="B7" s="136">
        <v>27905</v>
      </c>
      <c r="C7" s="67">
        <v>28515</v>
      </c>
      <c r="D7" s="67">
        <v>39707</v>
      </c>
      <c r="E7" s="67">
        <v>47614</v>
      </c>
      <c r="F7" s="67">
        <v>46885</v>
      </c>
      <c r="G7" s="137">
        <v>55534</v>
      </c>
      <c r="H7" s="26"/>
      <c r="I7" s="26"/>
      <c r="J7" s="26"/>
      <c r="K7" s="26"/>
      <c r="L7" s="26"/>
      <c r="T7" s="26"/>
    </row>
    <row r="8" spans="1:20" x14ac:dyDescent="0.3">
      <c r="A8" s="54" t="s">
        <v>139</v>
      </c>
      <c r="B8" s="136">
        <v>-286844</v>
      </c>
      <c r="C8" s="67">
        <v>-208941</v>
      </c>
      <c r="D8" s="67">
        <v>-252933</v>
      </c>
      <c r="E8" s="67">
        <v>-118655</v>
      </c>
      <c r="F8" s="67">
        <v>-42208</v>
      </c>
      <c r="G8" s="137">
        <v>-94879</v>
      </c>
      <c r="H8" s="26"/>
      <c r="I8" s="26"/>
      <c r="J8" s="26"/>
      <c r="K8" s="26"/>
      <c r="L8" s="26"/>
      <c r="T8" s="26"/>
    </row>
    <row r="9" spans="1:20" x14ac:dyDescent="0.3">
      <c r="A9" s="54" t="s">
        <v>140</v>
      </c>
      <c r="B9" s="136">
        <v>-26562</v>
      </c>
      <c r="C9" s="67">
        <v>-10239</v>
      </c>
      <c r="D9" s="26">
        <v>0</v>
      </c>
      <c r="E9" s="67">
        <v>-225873</v>
      </c>
      <c r="F9" s="67">
        <v>0</v>
      </c>
      <c r="G9" s="137">
        <v>-12913</v>
      </c>
      <c r="H9" s="26"/>
      <c r="I9" s="26"/>
      <c r="J9" s="26"/>
      <c r="K9" s="26"/>
      <c r="L9" s="26"/>
      <c r="T9" s="26"/>
    </row>
    <row r="10" spans="1:20" x14ac:dyDescent="0.3">
      <c r="A10" s="54" t="s">
        <v>141</v>
      </c>
      <c r="B10" s="136">
        <v>973</v>
      </c>
      <c r="C10" s="67">
        <v>243</v>
      </c>
      <c r="D10" s="67">
        <v>-281</v>
      </c>
      <c r="E10" s="67">
        <v>0</v>
      </c>
      <c r="F10" s="67">
        <v>-1904</v>
      </c>
      <c r="G10" s="137">
        <v>1118</v>
      </c>
      <c r="H10" s="26"/>
      <c r="I10" s="26"/>
      <c r="J10" s="26"/>
      <c r="K10" s="26"/>
      <c r="L10" s="26"/>
      <c r="T10" s="26"/>
    </row>
    <row r="11" spans="1:20" x14ac:dyDescent="0.3">
      <c r="A11" s="54" t="s">
        <v>142</v>
      </c>
      <c r="B11" s="54"/>
      <c r="C11" s="26"/>
      <c r="D11" s="67">
        <v>105137</v>
      </c>
      <c r="E11" s="67">
        <v>157725</v>
      </c>
      <c r="F11" s="67">
        <v>146643</v>
      </c>
      <c r="G11" s="137">
        <v>169455</v>
      </c>
      <c r="H11" s="26"/>
      <c r="I11" s="26"/>
      <c r="J11" s="26"/>
      <c r="K11" s="26"/>
      <c r="L11" s="26"/>
      <c r="T11" s="26"/>
    </row>
    <row r="12" spans="1:20" x14ac:dyDescent="0.3">
      <c r="A12" s="54" t="s">
        <v>75</v>
      </c>
      <c r="B12" s="142"/>
      <c r="C12" s="143"/>
      <c r="D12" s="143"/>
      <c r="E12" s="143"/>
      <c r="F12" s="143">
        <v>0</v>
      </c>
      <c r="G12" s="144">
        <v>180970</v>
      </c>
      <c r="H12" s="26"/>
      <c r="I12" s="26"/>
      <c r="J12" s="26"/>
      <c r="K12" s="26"/>
      <c r="L12" s="26"/>
      <c r="T12" s="26"/>
    </row>
    <row r="13" spans="1:20" x14ac:dyDescent="0.3">
      <c r="A13" s="54" t="s">
        <v>76</v>
      </c>
      <c r="B13" s="136">
        <v>-653955</v>
      </c>
      <c r="C13" s="67">
        <v>370015</v>
      </c>
      <c r="D13" s="67">
        <v>-845831</v>
      </c>
      <c r="E13" s="67">
        <v>32995</v>
      </c>
      <c r="F13" s="67">
        <v>179532</v>
      </c>
      <c r="G13" s="137">
        <v>-776543</v>
      </c>
      <c r="H13" s="26"/>
      <c r="I13" s="26"/>
      <c r="J13" s="26"/>
      <c r="K13" s="26"/>
      <c r="L13" s="26"/>
      <c r="T13" s="26"/>
    </row>
    <row r="14" spans="1:20" x14ac:dyDescent="0.3">
      <c r="A14" s="54" t="s">
        <v>143</v>
      </c>
      <c r="B14" s="136">
        <v>-534980</v>
      </c>
      <c r="C14" s="67">
        <v>-110359</v>
      </c>
      <c r="D14" s="67">
        <v>-436195</v>
      </c>
      <c r="E14" s="67">
        <v>-110688</v>
      </c>
      <c r="F14" s="67">
        <v>-639855</v>
      </c>
      <c r="G14" s="137">
        <v>-225517</v>
      </c>
      <c r="H14" s="26"/>
      <c r="I14" s="26"/>
      <c r="J14" s="26"/>
      <c r="K14" s="26"/>
      <c r="L14" s="26"/>
      <c r="T14" s="26"/>
    </row>
    <row r="15" spans="1:20" x14ac:dyDescent="0.3">
      <c r="A15" s="54" t="s">
        <v>144</v>
      </c>
      <c r="B15" s="136">
        <v>219008</v>
      </c>
      <c r="C15" s="67">
        <v>94661</v>
      </c>
      <c r="D15" s="67">
        <v>-112152</v>
      </c>
      <c r="E15" s="67">
        <v>-89095</v>
      </c>
      <c r="F15" s="67">
        <v>153952</v>
      </c>
      <c r="G15" s="137">
        <v>-334089</v>
      </c>
      <c r="H15" s="26"/>
      <c r="I15" s="26"/>
      <c r="J15" s="26"/>
      <c r="K15" s="26"/>
      <c r="L15" s="26"/>
      <c r="T15" s="26"/>
    </row>
    <row r="16" spans="1:20" x14ac:dyDescent="0.3">
      <c r="A16" s="54" t="s">
        <v>145</v>
      </c>
      <c r="B16" s="136">
        <v>550233</v>
      </c>
      <c r="C16" s="67">
        <v>46141</v>
      </c>
      <c r="D16" s="67">
        <v>-54215</v>
      </c>
      <c r="E16" s="67">
        <v>41329</v>
      </c>
      <c r="F16" s="67">
        <v>547940</v>
      </c>
      <c r="G16" s="137">
        <v>203901</v>
      </c>
      <c r="H16" s="26"/>
      <c r="I16" s="26"/>
      <c r="J16" s="26"/>
      <c r="K16" s="26"/>
      <c r="L16" s="26"/>
      <c r="T16" s="26"/>
    </row>
    <row r="17" spans="1:20" ht="15" thickBot="1" x14ac:dyDescent="0.35">
      <c r="A17" s="54" t="s">
        <v>146</v>
      </c>
      <c r="B17" s="136">
        <v>19770</v>
      </c>
      <c r="C17" s="67">
        <v>312810</v>
      </c>
      <c r="D17" s="67">
        <v>70837</v>
      </c>
      <c r="E17" s="67">
        <v>108087</v>
      </c>
      <c r="F17" s="67">
        <v>-7378</v>
      </c>
      <c r="G17" s="137">
        <v>96646</v>
      </c>
      <c r="H17" s="26"/>
      <c r="I17" s="26"/>
      <c r="J17" s="26"/>
      <c r="K17" s="26"/>
      <c r="L17" s="26"/>
      <c r="T17" s="26"/>
    </row>
    <row r="18" spans="1:20" ht="15" thickBot="1" x14ac:dyDescent="0.35">
      <c r="A18" s="138" t="s">
        <v>147</v>
      </c>
      <c r="B18" s="145">
        <v>2724599</v>
      </c>
      <c r="C18" s="139">
        <v>3374435</v>
      </c>
      <c r="D18" s="124">
        <v>2781642</v>
      </c>
      <c r="E18" s="124">
        <v>3029535</v>
      </c>
      <c r="F18" s="124">
        <v>3178890</v>
      </c>
      <c r="G18" s="146">
        <v>2908352</v>
      </c>
      <c r="H18" s="26"/>
      <c r="I18" s="26"/>
      <c r="J18" s="26"/>
      <c r="K18" s="26"/>
      <c r="L18" s="26"/>
      <c r="T18" s="26"/>
    </row>
    <row r="19" spans="1:20" x14ac:dyDescent="0.3">
      <c r="A19" s="147" t="s">
        <v>148</v>
      </c>
      <c r="B19" s="148"/>
      <c r="C19" s="149"/>
      <c r="D19" s="149"/>
      <c r="E19" s="149"/>
      <c r="F19" s="149"/>
      <c r="G19" s="150"/>
      <c r="H19" s="26"/>
      <c r="I19" s="26"/>
      <c r="J19" s="26"/>
      <c r="K19" s="26"/>
      <c r="L19" s="26"/>
      <c r="T19" s="26"/>
    </row>
    <row r="20" spans="1:20" x14ac:dyDescent="0.3">
      <c r="A20" s="54" t="s">
        <v>149</v>
      </c>
      <c r="B20" s="136">
        <v>2298</v>
      </c>
      <c r="C20" s="67">
        <v>3993</v>
      </c>
      <c r="D20" s="67">
        <v>210</v>
      </c>
      <c r="E20" s="67">
        <v>0</v>
      </c>
      <c r="F20" s="67">
        <v>6206</v>
      </c>
      <c r="G20" s="137">
        <v>7082</v>
      </c>
      <c r="H20" s="26"/>
      <c r="I20" s="26"/>
      <c r="J20" s="26"/>
      <c r="K20" s="26"/>
      <c r="L20" s="26"/>
      <c r="T20" s="26"/>
    </row>
    <row r="21" spans="1:20" x14ac:dyDescent="0.3">
      <c r="A21" s="54" t="s">
        <v>150</v>
      </c>
      <c r="B21" s="136">
        <v>-1096824</v>
      </c>
      <c r="C21" s="67">
        <v>-937084</v>
      </c>
      <c r="D21" s="67">
        <v>-945997</v>
      </c>
      <c r="E21" s="67">
        <v>-1347398</v>
      </c>
      <c r="F21" s="67">
        <v>-1729500</v>
      </c>
      <c r="G21" s="137">
        <v>-2126190</v>
      </c>
      <c r="H21" s="26"/>
      <c r="I21" s="26"/>
      <c r="J21" s="26"/>
      <c r="K21" s="26"/>
      <c r="L21" s="26"/>
      <c r="T21" s="26"/>
    </row>
    <row r="22" spans="1:20" x14ac:dyDescent="0.3">
      <c r="A22" s="54" t="s">
        <v>151</v>
      </c>
      <c r="B22" s="136"/>
      <c r="C22" s="26"/>
      <c r="D22" s="26"/>
      <c r="E22" s="26"/>
      <c r="F22" s="67">
        <v>-2025885</v>
      </c>
      <c r="G22" s="137">
        <v>-98028</v>
      </c>
      <c r="H22" s="26"/>
      <c r="I22" s="26"/>
      <c r="J22" s="26"/>
      <c r="K22" s="26"/>
      <c r="L22" s="26"/>
      <c r="T22" s="26"/>
    </row>
    <row r="23" spans="1:20" x14ac:dyDescent="0.3">
      <c r="A23" s="54" t="s">
        <v>152</v>
      </c>
      <c r="B23" s="136">
        <v>4444</v>
      </c>
      <c r="C23" s="67">
        <v>22211</v>
      </c>
      <c r="D23" s="26"/>
      <c r="E23" s="26"/>
      <c r="F23" s="67">
        <v>0</v>
      </c>
      <c r="G23" s="137">
        <v>47575</v>
      </c>
      <c r="H23" s="26"/>
      <c r="I23" s="26"/>
      <c r="J23" s="26"/>
      <c r="K23" s="26"/>
      <c r="L23" s="26"/>
      <c r="T23" s="26"/>
    </row>
    <row r="24" spans="1:20" x14ac:dyDescent="0.3">
      <c r="A24" s="54" t="s">
        <v>153</v>
      </c>
      <c r="B24" s="136">
        <v>0</v>
      </c>
      <c r="C24" s="26"/>
      <c r="D24" s="26"/>
      <c r="E24" s="26"/>
      <c r="F24" s="67">
        <v>0</v>
      </c>
      <c r="G24" s="137">
        <v>-326802</v>
      </c>
      <c r="H24" s="26"/>
      <c r="I24" s="26"/>
      <c r="J24" s="26"/>
      <c r="K24" s="26"/>
      <c r="L24" s="26"/>
      <c r="T24" s="26"/>
    </row>
    <row r="25" spans="1:20" x14ac:dyDescent="0.3">
      <c r="A25" s="54" t="s">
        <v>154</v>
      </c>
      <c r="B25" s="136">
        <v>0</v>
      </c>
      <c r="C25" s="26"/>
      <c r="D25" s="26"/>
      <c r="E25" s="26"/>
      <c r="F25" s="67">
        <v>0</v>
      </c>
      <c r="G25" s="137">
        <v>-307750</v>
      </c>
      <c r="H25" s="26"/>
      <c r="I25" s="26"/>
      <c r="J25" s="26"/>
      <c r="K25" s="26"/>
      <c r="L25" s="26"/>
      <c r="T25" s="26"/>
    </row>
    <row r="26" spans="1:20" x14ac:dyDescent="0.3">
      <c r="A26" s="54" t="s">
        <v>155</v>
      </c>
      <c r="B26" s="136">
        <v>-200000</v>
      </c>
      <c r="C26" s="67">
        <v>-8069</v>
      </c>
      <c r="D26" s="67">
        <v>-114429</v>
      </c>
      <c r="E26" s="67">
        <v>-199358</v>
      </c>
      <c r="F26" s="67">
        <v>-13929</v>
      </c>
      <c r="G26" s="137">
        <v>-5000</v>
      </c>
      <c r="H26" s="26"/>
      <c r="I26" s="26"/>
      <c r="J26" s="26"/>
      <c r="K26" s="26"/>
      <c r="L26" s="26"/>
      <c r="T26" s="26"/>
    </row>
    <row r="27" spans="1:20" x14ac:dyDescent="0.3">
      <c r="A27" s="54" t="s">
        <v>156</v>
      </c>
      <c r="B27" s="136">
        <v>100800</v>
      </c>
      <c r="C27" s="67">
        <v>161015</v>
      </c>
      <c r="D27" s="67">
        <v>242200</v>
      </c>
      <c r="E27" s="67">
        <v>254804</v>
      </c>
      <c r="F27" s="67">
        <v>2144</v>
      </c>
      <c r="G27" s="137">
        <v>2177</v>
      </c>
      <c r="H27" s="26"/>
      <c r="I27" s="26"/>
      <c r="J27" s="26"/>
      <c r="K27" s="26"/>
      <c r="L27" s="26"/>
      <c r="T27" s="26"/>
    </row>
    <row r="28" spans="1:20" x14ac:dyDescent="0.3">
      <c r="A28" s="54" t="s">
        <v>157</v>
      </c>
      <c r="B28" s="136">
        <v>-42000</v>
      </c>
      <c r="C28" s="67">
        <v>0</v>
      </c>
      <c r="D28" s="67">
        <v>-15793</v>
      </c>
      <c r="E28" s="67">
        <v>-25475</v>
      </c>
      <c r="F28" s="67">
        <v>13469</v>
      </c>
      <c r="G28" s="137">
        <v>-21268</v>
      </c>
      <c r="H28" s="26"/>
      <c r="I28" s="26"/>
      <c r="J28" s="26"/>
      <c r="K28" s="26"/>
      <c r="L28" s="26"/>
      <c r="T28" s="26"/>
    </row>
    <row r="29" spans="1:20" ht="15" thickBot="1" x14ac:dyDescent="0.35">
      <c r="A29" s="54" t="s">
        <v>158</v>
      </c>
      <c r="B29" s="136"/>
      <c r="C29" s="67"/>
      <c r="D29" s="67"/>
      <c r="E29" s="67"/>
      <c r="F29" s="67">
        <v>0</v>
      </c>
      <c r="G29" s="137">
        <v>1364</v>
      </c>
      <c r="H29" s="26"/>
      <c r="I29" s="26"/>
      <c r="J29" s="26"/>
      <c r="K29" s="26"/>
      <c r="L29" s="26"/>
      <c r="T29" s="26"/>
    </row>
    <row r="30" spans="1:20" ht="15" thickBot="1" x14ac:dyDescent="0.35">
      <c r="A30" s="138" t="s">
        <v>159</v>
      </c>
      <c r="B30" s="145">
        <v>-1231282</v>
      </c>
      <c r="C30" s="124">
        <v>-757994</v>
      </c>
      <c r="D30" s="124">
        <v>-833809</v>
      </c>
      <c r="E30" s="124">
        <v>-1317427</v>
      </c>
      <c r="F30" s="124">
        <v>-3747495</v>
      </c>
      <c r="G30" s="146">
        <v>-2826840</v>
      </c>
      <c r="H30" s="26"/>
      <c r="I30" s="26"/>
      <c r="J30" s="26"/>
      <c r="K30" s="26"/>
      <c r="L30" s="26"/>
      <c r="T30" s="26"/>
    </row>
    <row r="31" spans="1:20" x14ac:dyDescent="0.3">
      <c r="A31" s="147" t="s">
        <v>160</v>
      </c>
      <c r="B31" s="148"/>
      <c r="C31" s="149"/>
      <c r="D31" s="149"/>
      <c r="E31" s="149"/>
      <c r="F31" s="149"/>
      <c r="G31" s="150"/>
      <c r="H31" s="26"/>
      <c r="I31" s="26"/>
      <c r="J31" s="26"/>
      <c r="K31" s="26"/>
      <c r="L31" s="26"/>
      <c r="T31" s="26"/>
    </row>
    <row r="32" spans="1:20" x14ac:dyDescent="0.3">
      <c r="A32" s="54" t="s">
        <v>161</v>
      </c>
      <c r="B32" s="136">
        <v>175000</v>
      </c>
      <c r="C32" s="67">
        <v>0</v>
      </c>
      <c r="D32" s="67">
        <v>500000</v>
      </c>
      <c r="E32" s="67">
        <v>2341847</v>
      </c>
      <c r="F32" s="67">
        <v>1638685</v>
      </c>
      <c r="G32" s="137">
        <v>3760202</v>
      </c>
      <c r="H32" s="26"/>
      <c r="I32" s="26"/>
      <c r="J32" s="26"/>
      <c r="K32" s="26"/>
      <c r="L32" s="26"/>
      <c r="T32" s="26"/>
    </row>
    <row r="33" spans="1:20" x14ac:dyDescent="0.3">
      <c r="A33" s="54" t="s">
        <v>162</v>
      </c>
      <c r="B33" s="136">
        <v>-498505</v>
      </c>
      <c r="C33" s="67">
        <v>-1289592</v>
      </c>
      <c r="D33" s="67">
        <v>-136670</v>
      </c>
      <c r="E33" s="67">
        <v>-1061284</v>
      </c>
      <c r="F33" s="67">
        <v>-574850</v>
      </c>
      <c r="G33" s="137">
        <v>-3138284</v>
      </c>
      <c r="H33" s="26"/>
      <c r="I33" s="26"/>
      <c r="J33" s="26"/>
      <c r="K33" s="26"/>
      <c r="L33" s="26"/>
      <c r="T33" s="26"/>
    </row>
    <row r="34" spans="1:20" x14ac:dyDescent="0.3">
      <c r="A34" s="54" t="s">
        <v>163</v>
      </c>
      <c r="B34" s="136">
        <v>59480</v>
      </c>
      <c r="C34" s="67">
        <v>38650</v>
      </c>
      <c r="D34" s="67">
        <v>3788</v>
      </c>
      <c r="E34" s="67">
        <v>53669</v>
      </c>
      <c r="F34" s="67">
        <v>837761</v>
      </c>
      <c r="G34" s="137">
        <v>-703959</v>
      </c>
      <c r="H34" s="26"/>
      <c r="I34" s="26"/>
      <c r="J34" s="26"/>
      <c r="K34" s="26"/>
      <c r="L34" s="26"/>
      <c r="T34" s="26"/>
    </row>
    <row r="35" spans="1:20" x14ac:dyDescent="0.3">
      <c r="A35" s="54" t="s">
        <v>164</v>
      </c>
      <c r="B35" s="136"/>
      <c r="C35" s="67"/>
      <c r="D35" s="384">
        <v>0</v>
      </c>
      <c r="E35" s="384">
        <v>-213522</v>
      </c>
      <c r="F35" s="67">
        <v>-184285</v>
      </c>
      <c r="G35" s="137">
        <v>-198437</v>
      </c>
      <c r="H35" s="26"/>
      <c r="I35" s="26"/>
      <c r="J35" s="26"/>
      <c r="K35" s="26"/>
      <c r="L35" s="26"/>
      <c r="T35" s="26"/>
    </row>
    <row r="36" spans="1:20" x14ac:dyDescent="0.3">
      <c r="A36" s="54" t="s">
        <v>175</v>
      </c>
      <c r="B36" s="54"/>
      <c r="C36" s="26"/>
      <c r="D36" s="384"/>
      <c r="E36" s="384"/>
      <c r="F36" s="67">
        <v>-55217</v>
      </c>
      <c r="G36" s="137">
        <v>-57311</v>
      </c>
      <c r="H36" s="26"/>
      <c r="I36" s="26"/>
      <c r="J36" s="26"/>
      <c r="K36" s="26"/>
      <c r="L36" s="26"/>
      <c r="T36" s="26"/>
    </row>
    <row r="37" spans="1:20" x14ac:dyDescent="0.3">
      <c r="A37" s="54" t="s">
        <v>158</v>
      </c>
      <c r="B37" s="136">
        <v>5014</v>
      </c>
      <c r="C37" s="67">
        <v>11109</v>
      </c>
      <c r="D37" s="384">
        <v>-105137</v>
      </c>
      <c r="E37" s="384">
        <v>-104941</v>
      </c>
      <c r="F37" s="67">
        <v>3211</v>
      </c>
      <c r="G37" s="137">
        <v>10873</v>
      </c>
      <c r="H37" s="26"/>
      <c r="I37" s="26"/>
      <c r="J37" s="26"/>
      <c r="K37" s="26"/>
      <c r="L37" s="26"/>
      <c r="T37" s="26"/>
    </row>
    <row r="38" spans="1:20" x14ac:dyDescent="0.3">
      <c r="A38" s="54" t="s">
        <v>165</v>
      </c>
      <c r="B38" s="136">
        <v>-106328</v>
      </c>
      <c r="C38" s="67">
        <v>-106961</v>
      </c>
      <c r="D38" s="384"/>
      <c r="E38" s="384"/>
      <c r="F38" s="67">
        <v>-94637</v>
      </c>
      <c r="G38" s="137">
        <v>-104481</v>
      </c>
      <c r="H38" s="26"/>
      <c r="I38" s="26"/>
      <c r="J38" s="26"/>
      <c r="K38" s="26"/>
      <c r="L38" s="26"/>
      <c r="T38" s="26"/>
    </row>
    <row r="39" spans="1:20" x14ac:dyDescent="0.3">
      <c r="A39" s="54" t="s">
        <v>176</v>
      </c>
      <c r="B39" s="136">
        <v>-1125903</v>
      </c>
      <c r="C39" s="67">
        <v>-1365967</v>
      </c>
      <c r="D39" s="67">
        <v>-2147176</v>
      </c>
      <c r="E39" s="67">
        <v>-2617154</v>
      </c>
      <c r="F39" s="67">
        <v>-1493002</v>
      </c>
      <c r="G39" s="137">
        <v>-2271159</v>
      </c>
      <c r="H39" s="26"/>
      <c r="I39" s="26"/>
      <c r="J39" s="26"/>
      <c r="K39" s="26"/>
      <c r="L39" s="26"/>
      <c r="T39" s="26"/>
    </row>
    <row r="40" spans="1:20" x14ac:dyDescent="0.3">
      <c r="A40" s="54" t="s">
        <v>166</v>
      </c>
      <c r="B40" s="136"/>
      <c r="C40" s="67"/>
      <c r="D40" s="67"/>
      <c r="E40" s="26"/>
      <c r="F40" s="67">
        <v>479955</v>
      </c>
      <c r="G40" s="137">
        <v>639093</v>
      </c>
      <c r="H40" s="26"/>
      <c r="I40" s="26"/>
      <c r="J40" s="26"/>
      <c r="K40" s="26"/>
      <c r="L40" s="26"/>
      <c r="T40" s="26"/>
    </row>
    <row r="41" spans="1:20" x14ac:dyDescent="0.3">
      <c r="A41" s="54" t="s">
        <v>167</v>
      </c>
      <c r="B41" s="136"/>
      <c r="C41" s="67"/>
      <c r="D41" s="67"/>
      <c r="E41" s="67"/>
      <c r="F41" s="67">
        <v>9</v>
      </c>
      <c r="G41" s="137">
        <v>2681822</v>
      </c>
      <c r="H41" s="26"/>
      <c r="I41" s="26"/>
      <c r="J41" s="26"/>
      <c r="K41" s="26"/>
      <c r="L41" s="26"/>
      <c r="T41" s="26"/>
    </row>
    <row r="42" spans="1:20" x14ac:dyDescent="0.3">
      <c r="A42" s="54" t="s">
        <v>168</v>
      </c>
      <c r="B42" s="136"/>
      <c r="C42" s="67"/>
      <c r="D42" s="67"/>
      <c r="E42" s="67"/>
      <c r="F42" s="67">
        <v>9</v>
      </c>
      <c r="G42" s="137">
        <v>-16041</v>
      </c>
      <c r="H42" s="26"/>
      <c r="I42" s="26"/>
      <c r="J42" s="26"/>
      <c r="K42" s="26"/>
      <c r="L42" s="26"/>
      <c r="T42" s="26"/>
    </row>
    <row r="43" spans="1:20" x14ac:dyDescent="0.3">
      <c r="A43" s="54" t="s">
        <v>177</v>
      </c>
      <c r="B43" s="54"/>
      <c r="C43" s="26">
        <v>162</v>
      </c>
      <c r="D43" s="26"/>
      <c r="E43" s="26"/>
      <c r="F43" s="26"/>
      <c r="G43" s="55"/>
      <c r="H43" s="26"/>
      <c r="I43" s="26"/>
      <c r="J43" s="26"/>
      <c r="K43" s="26"/>
      <c r="L43" s="26"/>
      <c r="T43" s="26"/>
    </row>
    <row r="44" spans="1:20" ht="15" thickBot="1" x14ac:dyDescent="0.35">
      <c r="A44" s="54" t="s">
        <v>169</v>
      </c>
      <c r="B44" s="136"/>
      <c r="C44" s="67">
        <v>-4000</v>
      </c>
      <c r="D44" s="67">
        <v>-4980</v>
      </c>
      <c r="E44" s="67">
        <v>-118897</v>
      </c>
      <c r="F44" s="67">
        <v>-3990</v>
      </c>
      <c r="G44" s="137">
        <v>0</v>
      </c>
      <c r="H44" s="26"/>
      <c r="I44" s="26"/>
      <c r="J44" s="26"/>
      <c r="K44" s="26"/>
      <c r="L44" s="26"/>
      <c r="T44" s="26"/>
    </row>
    <row r="45" spans="1:20" ht="15" thickBot="1" x14ac:dyDescent="0.35">
      <c r="A45" s="138" t="s">
        <v>170</v>
      </c>
      <c r="B45" s="145">
        <v>-1491242</v>
      </c>
      <c r="C45" s="124">
        <v>-2716600</v>
      </c>
      <c r="D45" s="124">
        <v>-1890175</v>
      </c>
      <c r="E45" s="124">
        <v>-1720282</v>
      </c>
      <c r="F45" s="124">
        <v>553631</v>
      </c>
      <c r="G45" s="146">
        <v>602320</v>
      </c>
      <c r="H45" s="26"/>
      <c r="I45" s="26"/>
      <c r="J45" s="26"/>
      <c r="K45" s="26"/>
      <c r="L45" s="26"/>
      <c r="T45" s="26"/>
    </row>
    <row r="46" spans="1:20" x14ac:dyDescent="0.3">
      <c r="A46" s="151" t="s">
        <v>171</v>
      </c>
      <c r="B46" s="148">
        <v>2075</v>
      </c>
      <c r="C46" s="149">
        <v>-100158</v>
      </c>
      <c r="D46" s="149">
        <v>57657</v>
      </c>
      <c r="E46" s="149">
        <v>-8175</v>
      </c>
      <c r="F46" s="149">
        <v>-14973</v>
      </c>
      <c r="G46" s="150">
        <v>683832</v>
      </c>
      <c r="H46" s="26"/>
      <c r="I46" s="26"/>
      <c r="J46" s="26"/>
      <c r="K46" s="26"/>
      <c r="L46" s="26"/>
      <c r="T46" s="26"/>
    </row>
    <row r="47" spans="1:20" x14ac:dyDescent="0.3">
      <c r="A47" s="54" t="s">
        <v>172</v>
      </c>
      <c r="B47" s="136">
        <v>-2075</v>
      </c>
      <c r="C47" s="26">
        <v>3549</v>
      </c>
      <c r="D47" s="67">
        <v>4839</v>
      </c>
      <c r="E47" s="67">
        <v>-431</v>
      </c>
      <c r="F47" s="67">
        <v>7429</v>
      </c>
      <c r="G47" s="137">
        <v>-5634</v>
      </c>
      <c r="H47" s="51"/>
      <c r="I47" s="26"/>
      <c r="J47" s="26"/>
      <c r="K47" s="26"/>
      <c r="L47" s="26"/>
      <c r="T47" s="26"/>
    </row>
    <row r="48" spans="1:20" x14ac:dyDescent="0.3">
      <c r="A48" s="54" t="s">
        <v>173</v>
      </c>
      <c r="B48" s="136">
        <v>273696</v>
      </c>
      <c r="C48" s="67">
        <v>273715</v>
      </c>
      <c r="D48" s="67">
        <v>177098</v>
      </c>
      <c r="E48" s="67">
        <v>239596</v>
      </c>
      <c r="F48" s="67">
        <v>230990</v>
      </c>
      <c r="G48" s="137">
        <v>223447</v>
      </c>
      <c r="H48" s="26"/>
      <c r="I48" s="26"/>
      <c r="J48" s="26"/>
      <c r="K48" s="26"/>
      <c r="L48" s="26"/>
      <c r="T48" s="26"/>
    </row>
    <row r="49" spans="1:20" ht="15" thickBot="1" x14ac:dyDescent="0.35">
      <c r="A49" s="72" t="s">
        <v>174</v>
      </c>
      <c r="B49" s="152">
        <v>273715</v>
      </c>
      <c r="C49" s="153">
        <v>177098</v>
      </c>
      <c r="D49" s="153">
        <v>239596</v>
      </c>
      <c r="E49" s="153">
        <v>230990</v>
      </c>
      <c r="F49" s="153">
        <v>223447</v>
      </c>
      <c r="G49" s="154">
        <v>901644</v>
      </c>
      <c r="H49" s="26"/>
      <c r="I49" s="26"/>
      <c r="J49" s="26"/>
      <c r="K49" s="26"/>
      <c r="L49" s="26"/>
      <c r="T49" s="26"/>
    </row>
    <row r="50" spans="1:20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T50" s="26"/>
    </row>
    <row r="51" spans="1:20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</sheetData>
  <mergeCells count="5">
    <mergeCell ref="B1:G1"/>
    <mergeCell ref="E35:E36"/>
    <mergeCell ref="E37:E38"/>
    <mergeCell ref="D35:D36"/>
    <mergeCell ref="D37:D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D248D-AB2F-0C4C-B01A-78DDE0DA962B}">
  <dimension ref="A3:AI89"/>
  <sheetViews>
    <sheetView showGridLines="0" tabSelected="1" zoomScale="81" zoomScaleNormal="115" workbookViewId="0">
      <selection activeCell="J1" sqref="J1:R1048576"/>
    </sheetView>
  </sheetViews>
  <sheetFormatPr defaultColWidth="11.44140625" defaultRowHeight="13.8" x14ac:dyDescent="0.25"/>
  <cols>
    <col min="1" max="1" width="11.44140625" style="26"/>
    <col min="2" max="2" width="19.77734375" style="26" bestFit="1" customWidth="1"/>
    <col min="3" max="8" width="13.109375" style="26" bestFit="1" customWidth="1"/>
    <col min="9" max="10" width="11.44140625" style="26"/>
    <col min="11" max="11" width="26.21875" style="26" customWidth="1"/>
    <col min="12" max="12" width="17.77734375" style="26" customWidth="1"/>
    <col min="13" max="13" width="15.77734375" style="26" customWidth="1"/>
    <col min="14" max="14" width="13.109375" style="26" customWidth="1"/>
    <col min="15" max="15" width="14.77734375" style="26" customWidth="1"/>
    <col min="16" max="16" width="13.44140625" style="26" customWidth="1"/>
    <col min="17" max="17" width="12.77734375" style="26" bestFit="1" customWidth="1"/>
    <col min="18" max="18" width="15.33203125" style="26" bestFit="1" customWidth="1"/>
    <col min="19" max="19" width="23.77734375" style="26" customWidth="1"/>
    <col min="20" max="20" width="10.44140625" style="26" bestFit="1" customWidth="1"/>
    <col min="21" max="33" width="11.6640625" style="26" bestFit="1" customWidth="1"/>
    <col min="34" max="34" width="12" style="26" bestFit="1" customWidth="1"/>
    <col min="35" max="44" width="11.44140625" style="26"/>
    <col min="45" max="45" width="13.109375" style="26" bestFit="1" customWidth="1"/>
    <col min="46" max="16384" width="11.44140625" style="26"/>
  </cols>
  <sheetData>
    <row r="3" spans="2:22" x14ac:dyDescent="0.25">
      <c r="B3" s="386" t="s">
        <v>195</v>
      </c>
      <c r="C3" s="386"/>
      <c r="D3" s="386"/>
      <c r="E3" s="386"/>
      <c r="F3" s="386"/>
      <c r="G3" s="386"/>
      <c r="K3" s="385" t="s">
        <v>212</v>
      </c>
      <c r="L3" s="385"/>
      <c r="M3" s="385"/>
      <c r="N3" s="385"/>
      <c r="O3" s="385"/>
      <c r="P3" s="385"/>
      <c r="Q3" s="385"/>
      <c r="S3" s="385" t="s">
        <v>491</v>
      </c>
      <c r="T3" s="385"/>
    </row>
    <row r="4" spans="2:22" x14ac:dyDescent="0.25">
      <c r="B4" s="36" t="s">
        <v>196</v>
      </c>
      <c r="C4" s="36">
        <v>2017</v>
      </c>
      <c r="D4" s="36">
        <v>2018</v>
      </c>
      <c r="E4" s="36">
        <v>2019</v>
      </c>
      <c r="F4" s="36">
        <v>2020</v>
      </c>
      <c r="G4" s="36">
        <v>2021</v>
      </c>
      <c r="K4" s="36" t="s">
        <v>213</v>
      </c>
      <c r="L4" s="36">
        <v>2016</v>
      </c>
      <c r="M4" s="36">
        <v>2017</v>
      </c>
      <c r="N4" s="36">
        <v>2018</v>
      </c>
      <c r="O4" s="36">
        <v>2019</v>
      </c>
      <c r="P4" s="36">
        <v>2020</v>
      </c>
      <c r="Q4" s="36">
        <v>2021</v>
      </c>
      <c r="S4" s="327" t="s">
        <v>460</v>
      </c>
      <c r="T4" s="165">
        <v>2.835E-2</v>
      </c>
      <c r="U4" s="315"/>
      <c r="V4" s="155" t="s">
        <v>236</v>
      </c>
    </row>
    <row r="5" spans="2:22" x14ac:dyDescent="0.25">
      <c r="B5" s="28" t="s">
        <v>197</v>
      </c>
      <c r="C5" s="27">
        <f>('Income Statement'!L7-'Income Statement'!K7)/'Income Statement'!K7</f>
        <v>0.19794693445512831</v>
      </c>
      <c r="D5" s="27">
        <f>('Income Statement'!M7-'Income Statement'!L7)/'Income Statement'!L7</f>
        <v>4.8562858652088453E-2</v>
      </c>
      <c r="E5" s="27">
        <f>('Income Statement'!N7-'Income Statement'!M7)/'Income Statement'!M7</f>
        <v>7.8909476648733615E-2</v>
      </c>
      <c r="F5" s="27">
        <f>('Income Statement'!O7-'Income Statement'!N7)/'Income Statement'!N7</f>
        <v>5.5137658242975805E-2</v>
      </c>
      <c r="G5" s="27">
        <f>('Income Statement'!P7-'Income Statement'!O7)/'Income Statement'!O7</f>
        <v>0.16508269104727019</v>
      </c>
      <c r="H5" s="27"/>
      <c r="K5" s="28" t="s">
        <v>214</v>
      </c>
      <c r="L5" s="27">
        <f>L7/'Income Statement'!K7</f>
        <v>0.25226806997353435</v>
      </c>
      <c r="M5" s="27">
        <f>M7/'Income Statement'!L7</f>
        <v>0.22260419156904931</v>
      </c>
      <c r="N5" s="27">
        <f>N7/'Income Statement'!M7</f>
        <v>0.32282148799996896</v>
      </c>
      <c r="O5" s="27">
        <f>O7/'Income Statement'!N7</f>
        <v>0.20759830715020744</v>
      </c>
      <c r="P5" s="27">
        <f>P7/'Income Statement'!O7</f>
        <v>0.17356607914862224</v>
      </c>
      <c r="Q5" s="27">
        <f>Q7/'Income Statement'!P7</f>
        <v>0.20238221423968247</v>
      </c>
      <c r="S5" s="327" t="s">
        <v>219</v>
      </c>
      <c r="T5" s="166">
        <f>Beta!K72</f>
        <v>0.88120714553066715</v>
      </c>
      <c r="U5" s="155"/>
    </row>
    <row r="6" spans="2:22" x14ac:dyDescent="0.25">
      <c r="B6" s="28" t="s">
        <v>198</v>
      </c>
      <c r="C6" s="29">
        <f>('Income Statement'!L18-'Income Statement'!K18)/'Income Statement'!K18</f>
        <v>8.2435921340180043E-3</v>
      </c>
      <c r="D6" s="29">
        <f>('Income Statement'!M18-'Income Statement'!L18)/'Income Statement'!L18</f>
        <v>0.51927442552912162</v>
      </c>
      <c r="E6" s="29">
        <f>('Income Statement'!N18-'Income Statement'!M18)/'Income Statement'!M18</f>
        <v>-0.30843203588053714</v>
      </c>
      <c r="F6" s="29">
        <f>('Income Statement'!O18-'Income Statement'!N18)/'Income Statement'!N18</f>
        <v>-8.9773871832797586E-2</v>
      </c>
      <c r="G6" s="29">
        <f>('Income Statement'!P18-'Income Statement'!O18)/'Income Statement'!O18</f>
        <v>0.32340595141203882</v>
      </c>
      <c r="K6" s="28" t="s">
        <v>215</v>
      </c>
      <c r="L6" s="27">
        <f t="shared" ref="L6:Q6" si="0">L9/L5</f>
        <v>1.0190636541937701</v>
      </c>
      <c r="M6" s="27">
        <f t="shared" si="0"/>
        <v>1.3169373753261988</v>
      </c>
      <c r="N6" s="27">
        <f t="shared" si="0"/>
        <v>1.1396151238891632</v>
      </c>
      <c r="O6" s="27">
        <f t="shared" si="0"/>
        <v>0.93624921743905742</v>
      </c>
      <c r="P6" s="27">
        <f t="shared" si="0"/>
        <v>0.78778714470514788</v>
      </c>
      <c r="Q6" s="27">
        <f t="shared" si="0"/>
        <v>0.73385373203596915</v>
      </c>
      <c r="S6" s="327" t="s">
        <v>458</v>
      </c>
      <c r="T6" s="27">
        <v>0.05</v>
      </c>
      <c r="V6" s="316" t="s">
        <v>387</v>
      </c>
    </row>
    <row r="7" spans="2:22" x14ac:dyDescent="0.25">
      <c r="B7" s="28" t="s">
        <v>199</v>
      </c>
      <c r="C7" s="29">
        <f>('Income Statement'!L30-'Income Statement'!K30)/'Income Statement'!K30</f>
        <v>1.8907305911775661E-2</v>
      </c>
      <c r="D7" s="29">
        <f>('Income Statement'!M30-'Income Statement'!L30)/'Income Statement'!L30</f>
        <v>0.55767497505221297</v>
      </c>
      <c r="E7" s="29">
        <f>('Income Statement'!N30-'Income Statement'!M30)/'Income Statement'!M30</f>
        <v>-0.28909534580680057</v>
      </c>
      <c r="F7" s="29">
        <f>('Income Statement'!O30-'Income Statement'!N30)/'Income Statement'!N30</f>
        <v>-0.2107285279901214</v>
      </c>
      <c r="G7" s="29">
        <f>('Income Statement'!P30-'Income Statement'!O30)/'Income Statement'!O30</f>
        <v>0.45431165105056986</v>
      </c>
      <c r="K7" s="28" t="s">
        <v>0</v>
      </c>
      <c r="L7" s="49">
        <f>'Income Statement'!K23</f>
        <v>2277933.75</v>
      </c>
      <c r="M7" s="49">
        <f>'Income Statement'!L23</f>
        <v>2407962.52</v>
      </c>
      <c r="N7" s="49">
        <f>'Income Statement'!M23</f>
        <v>3661620.16</v>
      </c>
      <c r="O7" s="49">
        <f>'Income Statement'!N23</f>
        <v>2540502.7599999998</v>
      </c>
      <c r="P7" s="49">
        <f>'Income Statement'!O23</f>
        <v>2241144.4</v>
      </c>
      <c r="Q7" s="49">
        <f>'Income Statement'!P23</f>
        <v>3044626.9</v>
      </c>
      <c r="S7" s="28" t="s">
        <v>453</v>
      </c>
      <c r="T7" s="34">
        <v>0.22</v>
      </c>
      <c r="V7" s="316" t="s">
        <v>235</v>
      </c>
    </row>
    <row r="8" spans="2:22" x14ac:dyDescent="0.25">
      <c r="B8" s="28" t="s">
        <v>67</v>
      </c>
      <c r="C8" s="29">
        <f>('Income Statement'!L23-'Income Statement'!K23)/'Income Statement'!K23</f>
        <v>5.7081892746002831E-2</v>
      </c>
      <c r="D8" s="29">
        <f>('Income Statement'!M23-'Income Statement'!L23)/'Income Statement'!L23</f>
        <v>0.52063004701584814</v>
      </c>
      <c r="E8" s="29">
        <f>('Income Statement'!N23-'Income Statement'!M23)/'Income Statement'!M23</f>
        <v>-0.30618069352119809</v>
      </c>
      <c r="F8" s="29">
        <f>('Income Statement'!O23-'Income Statement'!N23)/'Income Statement'!N23</f>
        <v>-0.11783429827881781</v>
      </c>
      <c r="G8" s="29">
        <f>('Income Statement'!P23-'Income Statement'!O23)/'Income Statement'!O23</f>
        <v>0.35851438220580523</v>
      </c>
      <c r="K8" s="28" t="s">
        <v>54</v>
      </c>
      <c r="L8" s="49">
        <f>'Balance Sheet'!W21</f>
        <v>8860893</v>
      </c>
      <c r="M8" s="49">
        <f>'Balance Sheet'!X21</f>
        <v>8213935</v>
      </c>
      <c r="N8" s="49">
        <f>'Balance Sheet'!Y21</f>
        <v>9952969</v>
      </c>
      <c r="O8" s="49">
        <f>'Balance Sheet'!Z21</f>
        <v>13070867</v>
      </c>
      <c r="P8" s="49">
        <f>'Balance Sheet'!AA21</f>
        <v>16390647</v>
      </c>
      <c r="Q8" s="49">
        <f>'Balance Sheet'!AB21</f>
        <v>20499923</v>
      </c>
      <c r="R8" s="32"/>
      <c r="S8" s="327" t="s">
        <v>381</v>
      </c>
      <c r="T8" s="26">
        <v>1.72</v>
      </c>
      <c r="V8" s="316" t="s">
        <v>484</v>
      </c>
    </row>
    <row r="9" spans="2:22" x14ac:dyDescent="0.25">
      <c r="B9" s="28" t="s">
        <v>200</v>
      </c>
      <c r="C9" s="29">
        <f>('Income Statement'!L32-'Income Statement'!K32)/'Income Statement'!K32</f>
        <v>-0.13908974904296056</v>
      </c>
      <c r="D9" s="29">
        <f>('Income Statement'!M32-'Income Statement'!L32)/'Income Statement'!L32</f>
        <v>0.56620553359683801</v>
      </c>
      <c r="E9" s="29">
        <f>('Income Statement'!N32-'Income Statement'!M32)/'Income Statement'!M32</f>
        <v>-0.30410094637223978</v>
      </c>
      <c r="F9" s="29">
        <f>('Income Statement'!O32-'Income Statement'!N32)/'Income Statement'!N32</f>
        <v>-0.20580235720761555</v>
      </c>
      <c r="G9" s="29">
        <f>('Income Statement'!P32-'Income Statement'!O32)/'Income Statement'!O32</f>
        <v>0.29052511415525112</v>
      </c>
      <c r="K9" s="31" t="s">
        <v>216</v>
      </c>
      <c r="L9" s="32">
        <f t="shared" ref="L9:Q9" si="1">L7/L8</f>
        <v>0.25707722122363963</v>
      </c>
      <c r="M9" s="32">
        <f t="shared" si="1"/>
        <v>0.29315577978155416</v>
      </c>
      <c r="N9" s="32">
        <f t="shared" si="1"/>
        <v>0.36789225004116866</v>
      </c>
      <c r="O9" s="32">
        <f t="shared" si="1"/>
        <v>0.19436375261105479</v>
      </c>
      <c r="P9" s="32">
        <f t="shared" si="1"/>
        <v>0.13673312591016082</v>
      </c>
      <c r="Q9" s="32">
        <f t="shared" si="1"/>
        <v>0.14851894321749404</v>
      </c>
      <c r="S9" s="327" t="s">
        <v>380</v>
      </c>
      <c r="T9" s="130">
        <f>T7*T8</f>
        <v>0.37840000000000001</v>
      </c>
    </row>
    <row r="10" spans="2:22" ht="18" customHeight="1" x14ac:dyDescent="0.25">
      <c r="B10" s="28" t="s">
        <v>201</v>
      </c>
      <c r="C10" s="29">
        <f>('Balance Sheet'!C54-'Balance Sheet'!B54)/'Balance Sheet'!B54</f>
        <v>0.14778022441213542</v>
      </c>
      <c r="D10" s="29">
        <f>('Balance Sheet'!D54-'Balance Sheet'!C54)/'Balance Sheet'!C54</f>
        <v>0.19192611286613889</v>
      </c>
      <c r="E10" s="29">
        <f>('Balance Sheet'!E54-'Balance Sheet'!D54)/'Balance Sheet'!D54</f>
        <v>6.5674877093061343E-2</v>
      </c>
      <c r="F10" s="29">
        <f>('Balance Sheet'!F54-'Balance Sheet'!E54)/'Balance Sheet'!E54</f>
        <v>0.1280071046498496</v>
      </c>
      <c r="G10" s="29">
        <f>('Balance Sheet'!G54-'Balance Sheet'!F54)/'Balance Sheet'!F54</f>
        <v>0.40923947442145203</v>
      </c>
      <c r="K10" s="31" t="s">
        <v>221</v>
      </c>
      <c r="L10" s="35"/>
      <c r="M10" s="32">
        <f>C13</f>
        <v>0.14034132773875227</v>
      </c>
      <c r="N10" s="32">
        <f>D13</f>
        <v>0.25493773418113941</v>
      </c>
      <c r="O10" s="32">
        <f>E13</f>
        <v>-0.4716829381719656</v>
      </c>
      <c r="P10" s="32">
        <f>F13</f>
        <v>-0.29650912748232316</v>
      </c>
      <c r="Q10" s="32">
        <f>G13</f>
        <v>8.6195771718676095E-2</v>
      </c>
      <c r="S10" s="327" t="s">
        <v>382</v>
      </c>
      <c r="T10" s="79">
        <f>(1-T7)/(1-T9)</f>
        <v>1.254826254826255</v>
      </c>
    </row>
    <row r="11" spans="2:22" x14ac:dyDescent="0.25">
      <c r="S11" s="328" t="s">
        <v>459</v>
      </c>
      <c r="T11" s="32">
        <f>T4*T10+T5*((T6+T4)-T4*T10)</f>
        <v>7.3268555384632089E-2</v>
      </c>
    </row>
    <row r="12" spans="2:22" x14ac:dyDescent="0.25">
      <c r="B12" s="33" t="s">
        <v>202</v>
      </c>
      <c r="C12" s="33">
        <v>2017</v>
      </c>
      <c r="D12" s="33">
        <v>2018</v>
      </c>
      <c r="E12" s="33">
        <v>2019</v>
      </c>
      <c r="F12" s="33">
        <v>2020</v>
      </c>
      <c r="G12" s="33">
        <v>2021</v>
      </c>
    </row>
    <row r="13" spans="2:22" x14ac:dyDescent="0.25">
      <c r="B13" s="28" t="s">
        <v>203</v>
      </c>
      <c r="C13" s="27">
        <f>(M15-L15)/L15</f>
        <v>0.14034132773875227</v>
      </c>
      <c r="D13" s="27">
        <f t="shared" ref="D13:G13" si="2">(N15-M15)/M15</f>
        <v>0.25493773418113941</v>
      </c>
      <c r="E13" s="27">
        <f t="shared" si="2"/>
        <v>-0.4716829381719656</v>
      </c>
      <c r="F13" s="27">
        <f t="shared" si="2"/>
        <v>-0.29650912748232316</v>
      </c>
      <c r="G13" s="27">
        <f t="shared" si="2"/>
        <v>8.6195771718676095E-2</v>
      </c>
      <c r="K13" s="385" t="s">
        <v>59</v>
      </c>
      <c r="L13" s="385"/>
      <c r="M13" s="385"/>
      <c r="N13" s="385"/>
      <c r="O13" s="385"/>
      <c r="P13" s="385"/>
      <c r="Q13" s="385"/>
    </row>
    <row r="14" spans="2:22" x14ac:dyDescent="0.25">
      <c r="B14" s="28" t="s">
        <v>204</v>
      </c>
      <c r="C14" s="27">
        <f>(M16-L16)/L16</f>
        <v>4.0095000317453444E-2</v>
      </c>
      <c r="D14" s="27">
        <f t="shared" ref="D14:G14" si="3">(N16-M16)/M16</f>
        <v>5.0170181992242081E-3</v>
      </c>
      <c r="E14" s="27">
        <f t="shared" si="3"/>
        <v>-2.5486825553428748E-2</v>
      </c>
      <c r="F14" s="27">
        <f t="shared" si="3"/>
        <v>-1.2598714678817338E-2</v>
      </c>
      <c r="G14" s="27">
        <f t="shared" si="3"/>
        <v>1.3009939470069162E-2</v>
      </c>
      <c r="K14" s="28" t="s">
        <v>213</v>
      </c>
      <c r="L14" s="28">
        <v>2016</v>
      </c>
      <c r="M14" s="28">
        <v>2017</v>
      </c>
      <c r="N14" s="28">
        <v>2018</v>
      </c>
      <c r="O14" s="28">
        <v>2019</v>
      </c>
      <c r="P14" s="28">
        <v>2020</v>
      </c>
      <c r="Q14" s="28">
        <v>2021</v>
      </c>
    </row>
    <row r="15" spans="2:22" x14ac:dyDescent="0.25">
      <c r="K15" s="28" t="s">
        <v>216</v>
      </c>
      <c r="L15" s="27">
        <f t="shared" ref="L15:Q15" si="4">L9</f>
        <v>0.25707722122363963</v>
      </c>
      <c r="M15" s="27">
        <f t="shared" si="4"/>
        <v>0.29315577978155416</v>
      </c>
      <c r="N15" s="27">
        <f t="shared" si="4"/>
        <v>0.36789225004116866</v>
      </c>
      <c r="O15" s="27">
        <f t="shared" si="4"/>
        <v>0.19436375261105479</v>
      </c>
      <c r="P15" s="27">
        <f t="shared" si="4"/>
        <v>0.13673312591016082</v>
      </c>
      <c r="Q15" s="27">
        <f t="shared" si="4"/>
        <v>0.14851894321749404</v>
      </c>
    </row>
    <row r="16" spans="2:22" x14ac:dyDescent="0.25">
      <c r="K16" s="28" t="s">
        <v>204</v>
      </c>
      <c r="L16" s="27">
        <f t="shared" ref="L16:Q16" si="5">L37</f>
        <v>6.9396133262733403E-2</v>
      </c>
      <c r="M16" s="27">
        <f t="shared" si="5"/>
        <v>7.2178571247932741E-2</v>
      </c>
      <c r="N16" s="27">
        <f t="shared" si="5"/>
        <v>7.254069245347762E-2</v>
      </c>
      <c r="O16" s="27">
        <f t="shared" si="5"/>
        <v>7.0691860479390911E-2</v>
      </c>
      <c r="P16" s="27">
        <f t="shared" si="5"/>
        <v>6.9801233899096302E-2</v>
      </c>
      <c r="Q16" s="27">
        <f t="shared" si="5"/>
        <v>7.0709343727059684E-2</v>
      </c>
    </row>
    <row r="17" spans="2:26" x14ac:dyDescent="0.25">
      <c r="K17" s="28" t="s">
        <v>59</v>
      </c>
      <c r="L17" s="49">
        <f t="shared" ref="L17:Q17" si="6">(L15-L16)*L8</f>
        <v>1663022.038545178</v>
      </c>
      <c r="M17" s="49">
        <f t="shared" si="6"/>
        <v>1815092.4273766116</v>
      </c>
      <c r="N17" s="49">
        <f t="shared" si="6"/>
        <v>2939624.8967720037</v>
      </c>
      <c r="O17" s="49">
        <f t="shared" si="6"/>
        <v>1616498.8536913251</v>
      </c>
      <c r="P17" s="49">
        <f t="shared" si="6"/>
        <v>1097057.0149954786</v>
      </c>
      <c r="Q17" s="49">
        <f t="shared" si="6"/>
        <v>1595090.7982147434</v>
      </c>
      <c r="W17" s="28" t="s">
        <v>302</v>
      </c>
      <c r="X17" s="28"/>
      <c r="Y17" s="28"/>
      <c r="Z17" s="28"/>
    </row>
    <row r="18" spans="2:26" x14ac:dyDescent="0.25">
      <c r="B18" s="385" t="s">
        <v>205</v>
      </c>
      <c r="C18" s="385"/>
      <c r="D18" s="385"/>
      <c r="E18" s="385"/>
      <c r="F18" s="385"/>
      <c r="G18" s="385"/>
      <c r="H18" s="385"/>
      <c r="K18" s="28" t="s">
        <v>211</v>
      </c>
      <c r="L18" s="27"/>
      <c r="M18" s="27">
        <f>(M17-L17)/L17</f>
        <v>9.1442196980423496E-2</v>
      </c>
      <c r="N18" s="27">
        <f t="shared" ref="N18:Q18" si="7">(N17-M17)/M17</f>
        <v>0.61954556827758944</v>
      </c>
      <c r="O18" s="27">
        <f t="shared" si="7"/>
        <v>-0.45010029835221521</v>
      </c>
      <c r="P18" s="27">
        <f t="shared" si="7"/>
        <v>-0.32133758555391795</v>
      </c>
      <c r="Q18" s="27">
        <f t="shared" si="7"/>
        <v>0.45397256150931903</v>
      </c>
      <c r="W18" s="317" t="s">
        <v>303</v>
      </c>
      <c r="X18" s="317" t="s">
        <v>304</v>
      </c>
      <c r="Y18" s="317" t="s">
        <v>305</v>
      </c>
      <c r="Z18" s="317" t="s">
        <v>306</v>
      </c>
    </row>
    <row r="19" spans="2:26" x14ac:dyDescent="0.25">
      <c r="B19" s="28" t="s">
        <v>196</v>
      </c>
      <c r="C19" s="28">
        <v>2016</v>
      </c>
      <c r="D19" s="28">
        <v>2017</v>
      </c>
      <c r="E19" s="28">
        <v>2018</v>
      </c>
      <c r="F19" s="28">
        <v>2019</v>
      </c>
      <c r="G19" s="28">
        <v>2020</v>
      </c>
      <c r="H19" s="28">
        <v>2021</v>
      </c>
      <c r="W19" s="317">
        <v>-100000</v>
      </c>
      <c r="X19" s="317">
        <v>0.49999900000000003</v>
      </c>
      <c r="Y19" s="317" t="s">
        <v>307</v>
      </c>
      <c r="Z19" s="318">
        <v>0.2</v>
      </c>
    </row>
    <row r="20" spans="2:26" x14ac:dyDescent="0.25">
      <c r="B20" s="28" t="s">
        <v>206</v>
      </c>
      <c r="C20" s="49">
        <f>-Cashflow!B39</f>
        <v>1125903</v>
      </c>
      <c r="D20" s="49">
        <f>-Cashflow!C39</f>
        <v>1365967</v>
      </c>
      <c r="E20" s="49">
        <f>-Cashflow!D39</f>
        <v>2147176</v>
      </c>
      <c r="F20" s="49">
        <f>-Cashflow!E39</f>
        <v>2617154</v>
      </c>
      <c r="G20" s="49">
        <f>-Cashflow!F39</f>
        <v>1493002</v>
      </c>
      <c r="H20" s="49">
        <f>-Cashflow!G39</f>
        <v>2271159</v>
      </c>
      <c r="S20" s="385" t="s">
        <v>492</v>
      </c>
      <c r="T20" s="385"/>
      <c r="W20" s="317">
        <v>0.5</v>
      </c>
      <c r="X20" s="317">
        <v>0.79999900000000002</v>
      </c>
      <c r="Y20" s="317" t="s">
        <v>308</v>
      </c>
      <c r="Z20" s="318">
        <v>0.17499999999999999</v>
      </c>
    </row>
    <row r="21" spans="2:26" x14ac:dyDescent="0.25">
      <c r="B21" s="28" t="s">
        <v>207</v>
      </c>
      <c r="C21" s="29"/>
      <c r="D21" s="29">
        <f>(D20-C20)/C20</f>
        <v>0.21321907837531298</v>
      </c>
      <c r="E21" s="29">
        <f>(E20-D20)/D20</f>
        <v>0.57190913104050101</v>
      </c>
      <c r="F21" s="29">
        <f>(F20-E20)/E20</f>
        <v>0.21888191745809379</v>
      </c>
      <c r="G21" s="29">
        <f>(G20-F20)/F20</f>
        <v>-0.42953223234093219</v>
      </c>
      <c r="H21" s="29">
        <f>(H20-G20)/G20</f>
        <v>0.52120291868329716</v>
      </c>
      <c r="I21" s="29"/>
      <c r="K21" s="385"/>
      <c r="L21" s="385"/>
      <c r="M21" s="385"/>
      <c r="N21" s="385"/>
      <c r="O21" s="385"/>
      <c r="P21" s="385"/>
      <c r="Q21" s="385"/>
      <c r="S21" s="28" t="str">
        <f>S4</f>
        <v>Risikofri rente</v>
      </c>
      <c r="T21" s="165">
        <f>T4</f>
        <v>2.835E-2</v>
      </c>
      <c r="U21" s="330">
        <v>1.1783999999999999E-2</v>
      </c>
      <c r="W21" s="317">
        <v>0.8</v>
      </c>
      <c r="X21" s="317">
        <v>1.2499990000000001</v>
      </c>
      <c r="Y21" s="317" t="s">
        <v>309</v>
      </c>
      <c r="Z21" s="318">
        <v>0.1578</v>
      </c>
    </row>
    <row r="22" spans="2:26" x14ac:dyDescent="0.25">
      <c r="K22" s="28" t="s">
        <v>213</v>
      </c>
      <c r="L22" s="28">
        <v>2016</v>
      </c>
      <c r="M22" s="28">
        <v>2017</v>
      </c>
      <c r="N22" s="28">
        <v>2018</v>
      </c>
      <c r="O22" s="28">
        <v>2019</v>
      </c>
      <c r="P22" s="28">
        <v>2020</v>
      </c>
      <c r="Q22" s="28">
        <v>2021</v>
      </c>
      <c r="S22" s="28" t="s">
        <v>461</v>
      </c>
      <c r="T22" s="49">
        <f>'Income Statement'!P18</f>
        <v>3798408</v>
      </c>
      <c r="W22" s="317">
        <v>1.25</v>
      </c>
      <c r="X22" s="317">
        <v>1.4999990000000001</v>
      </c>
      <c r="Y22" s="317" t="s">
        <v>310</v>
      </c>
      <c r="Z22" s="318">
        <v>0.1157</v>
      </c>
    </row>
    <row r="23" spans="2:26" x14ac:dyDescent="0.25">
      <c r="K23" s="28" t="s">
        <v>217</v>
      </c>
      <c r="L23" s="49">
        <f>-'Income Statement'!C26</f>
        <v>106328</v>
      </c>
      <c r="M23" s="49">
        <f>-'Income Statement'!D26</f>
        <v>106961</v>
      </c>
      <c r="N23" s="49">
        <f>-'Income Statement'!E26</f>
        <v>116101</v>
      </c>
      <c r="O23" s="49">
        <f>-'Income Statement'!F26</f>
        <v>170190</v>
      </c>
      <c r="P23" s="49">
        <f>-'Income Statement'!G26</f>
        <v>149854</v>
      </c>
      <c r="Q23" s="49">
        <f>-'Income Statement'!H26</f>
        <v>184646</v>
      </c>
      <c r="S23" s="28" t="s">
        <v>462</v>
      </c>
      <c r="T23" s="49">
        <f>'Income Statement'!P26*-1</f>
        <v>184646</v>
      </c>
      <c r="W23" s="317">
        <v>1.5</v>
      </c>
      <c r="X23" s="317">
        <v>1.9999990000000001</v>
      </c>
      <c r="Y23" s="317" t="s">
        <v>311</v>
      </c>
      <c r="Z23" s="318">
        <v>7.3700000000000002E-2</v>
      </c>
    </row>
    <row r="24" spans="2:26" x14ac:dyDescent="0.25">
      <c r="B24" s="385" t="s">
        <v>208</v>
      </c>
      <c r="C24" s="385"/>
      <c r="D24" s="385"/>
      <c r="E24" s="385"/>
      <c r="F24" s="385"/>
      <c r="G24" s="385"/>
      <c r="H24" s="385"/>
      <c r="K24" s="28" t="s">
        <v>386</v>
      </c>
      <c r="L24" s="49">
        <f>'Balance Sheet'!AE42</f>
        <v>2180060</v>
      </c>
      <c r="M24" s="49">
        <f>'Balance Sheet'!AF42</f>
        <v>545807</v>
      </c>
      <c r="N24" s="49">
        <f>'Balance Sheet'!AG42</f>
        <v>813127</v>
      </c>
      <c r="O24" s="49">
        <f>'Balance Sheet'!AH42</f>
        <v>3330767</v>
      </c>
      <c r="P24" s="49">
        <f>'Balance Sheet'!AI42</f>
        <v>5403745</v>
      </c>
      <c r="Q24" s="49">
        <f>'Balance Sheet'!AJ42</f>
        <v>5016747</v>
      </c>
      <c r="S24" s="28" t="s">
        <v>322</v>
      </c>
      <c r="T24" s="79">
        <f>T22/T23</f>
        <v>20.571298592983329</v>
      </c>
      <c r="W24" s="317">
        <v>2</v>
      </c>
      <c r="X24" s="317">
        <v>2.4999989999999999</v>
      </c>
      <c r="Y24" s="317" t="s">
        <v>312</v>
      </c>
      <c r="Z24" s="318">
        <v>5.2600000000000001E-2</v>
      </c>
    </row>
    <row r="25" spans="2:26" x14ac:dyDescent="0.25">
      <c r="B25" s="36" t="s">
        <v>196</v>
      </c>
      <c r="C25" s="36">
        <v>2016</v>
      </c>
      <c r="D25" s="36">
        <v>2017</v>
      </c>
      <c r="E25" s="36">
        <v>2018</v>
      </c>
      <c r="F25" s="36">
        <v>2019</v>
      </c>
      <c r="G25" s="36">
        <v>2020</v>
      </c>
      <c r="H25" s="36">
        <v>2021</v>
      </c>
      <c r="K25" s="28" t="s">
        <v>218</v>
      </c>
      <c r="L25" s="27">
        <f>L23/L24</f>
        <v>4.8772969551296751E-2</v>
      </c>
      <c r="M25" s="27">
        <f t="shared" ref="M25:P25" si="8">M23/M24</f>
        <v>0.19596853832948277</v>
      </c>
      <c r="N25" s="27">
        <f t="shared" si="8"/>
        <v>0.14278335364586345</v>
      </c>
      <c r="O25" s="27">
        <f t="shared" si="8"/>
        <v>5.1096339071451113E-2</v>
      </c>
      <c r="P25" s="27">
        <f t="shared" si="8"/>
        <v>2.7731508426100789E-2</v>
      </c>
      <c r="Q25" s="27">
        <f>Q23/Q24</f>
        <v>3.6805922244035824E-2</v>
      </c>
      <c r="R25" s="178"/>
      <c r="S25" s="28" t="s">
        <v>463</v>
      </c>
      <c r="T25" s="78" t="s">
        <v>321</v>
      </c>
      <c r="W25" s="317">
        <v>2.5</v>
      </c>
      <c r="X25" s="317">
        <v>2.9999989999999999</v>
      </c>
      <c r="Y25" s="317" t="s">
        <v>313</v>
      </c>
      <c r="Z25" s="318">
        <v>4.5499999999999999E-2</v>
      </c>
    </row>
    <row r="26" spans="2:26" x14ac:dyDescent="0.25">
      <c r="B26" s="28" t="s">
        <v>60</v>
      </c>
      <c r="C26" s="27">
        <f>'Income Statement'!K30/'Balance Sheet'!AE31</f>
        <v>0.33755670887148354</v>
      </c>
      <c r="D26" s="27">
        <f>'Income Statement'!L30/'Balance Sheet'!AF31</f>
        <v>0.29965579604304987</v>
      </c>
      <c r="E26" s="27">
        <f>'Income Statement'!M30/'Balance Sheet'!AG31</f>
        <v>0.39160676956997725</v>
      </c>
      <c r="F26" s="27">
        <f>'Income Statement'!N30/'Balance Sheet'!AH31</f>
        <v>0.26123828297450746</v>
      </c>
      <c r="G26" s="27">
        <f>'Income Statement'!O30/'Balance Sheet'!AI31</f>
        <v>0.18278956160708451</v>
      </c>
      <c r="H26" s="27">
        <f>'Income Statement'!P30/'Balance Sheet'!AJ31</f>
        <v>0.1886357811859789</v>
      </c>
      <c r="R26" s="27"/>
      <c r="S26" s="28" t="s">
        <v>494</v>
      </c>
      <c r="T26" s="27">
        <v>6.8999999999999999E-3</v>
      </c>
      <c r="U26" s="27">
        <v>6.7000000000000002E-3</v>
      </c>
      <c r="W26" s="317">
        <v>3</v>
      </c>
      <c r="X26" s="317">
        <v>3.4999989999999999</v>
      </c>
      <c r="Y26" s="317" t="s">
        <v>314</v>
      </c>
      <c r="Z26" s="318">
        <v>3.1300000000000001E-2</v>
      </c>
    </row>
    <row r="27" spans="2:26" x14ac:dyDescent="0.25">
      <c r="B27" s="28" t="s">
        <v>209</v>
      </c>
      <c r="C27" s="29">
        <f>-Cashflow!B39/'Income Statement'!K30</f>
        <v>0.49925637205342416</v>
      </c>
      <c r="D27" s="29">
        <f>-Cashflow!C39/'Income Statement'!L30</f>
        <v>0.59446757527529603</v>
      </c>
      <c r="E27" s="29">
        <f>-Cashflow!D39/'Income Statement'!M30</f>
        <v>0.599899866563255</v>
      </c>
      <c r="F27" s="29">
        <f>-Cashflow!E39/'Income Statement'!N30</f>
        <v>1.0285586053298759</v>
      </c>
      <c r="G27" s="29">
        <f>-Cashflow!F39/'Income Statement'!O30</f>
        <v>0.74341915588926111</v>
      </c>
      <c r="H27" s="29">
        <f>-Cashflow!G39/'Income Statement'!P30</f>
        <v>0.77761282385854535</v>
      </c>
      <c r="S27" s="28" t="s">
        <v>493</v>
      </c>
      <c r="T27" s="40">
        <f>T21+T26</f>
        <v>3.5250000000000004E-2</v>
      </c>
      <c r="U27" s="40">
        <f>U21+U26</f>
        <v>1.8484E-2</v>
      </c>
      <c r="W27" s="317">
        <v>3.5</v>
      </c>
      <c r="X27" s="317">
        <v>3.9999999000000002</v>
      </c>
      <c r="Y27" s="317" t="s">
        <v>315</v>
      </c>
      <c r="Z27" s="318">
        <v>2.4199999999999999E-2</v>
      </c>
    </row>
    <row r="28" spans="2:26" x14ac:dyDescent="0.25">
      <c r="B28" s="28" t="s">
        <v>62</v>
      </c>
      <c r="C28" s="27">
        <f t="shared" ref="C28:H28" si="9">1-C27</f>
        <v>0.50074362794657579</v>
      </c>
      <c r="D28" s="27">
        <f t="shared" si="9"/>
        <v>0.40553242472470397</v>
      </c>
      <c r="E28" s="27">
        <f t="shared" si="9"/>
        <v>0.400100133436745</v>
      </c>
      <c r="F28" s="27">
        <f t="shared" si="9"/>
        <v>-2.8558605329875864E-2</v>
      </c>
      <c r="G28" s="27">
        <f t="shared" si="9"/>
        <v>0.25658084411073889</v>
      </c>
      <c r="H28" s="27">
        <f t="shared" si="9"/>
        <v>0.22238717614145465</v>
      </c>
      <c r="K28" s="385" t="s">
        <v>499</v>
      </c>
      <c r="L28" s="385"/>
      <c r="M28" s="385"/>
      <c r="N28" s="385"/>
      <c r="O28" s="385"/>
      <c r="P28" s="385"/>
      <c r="Q28" s="385"/>
      <c r="S28" s="28" t="s">
        <v>382</v>
      </c>
      <c r="T28" s="329">
        <f>T10</f>
        <v>1.254826254826255</v>
      </c>
      <c r="W28" s="317">
        <v>4</v>
      </c>
      <c r="X28" s="317">
        <v>4.4999989999999999</v>
      </c>
      <c r="Y28" s="317" t="s">
        <v>316</v>
      </c>
      <c r="Z28" s="318">
        <v>0.02</v>
      </c>
    </row>
    <row r="29" spans="2:26" x14ac:dyDescent="0.25">
      <c r="B29" s="28" t="s">
        <v>210</v>
      </c>
      <c r="C29" s="27">
        <f>C26*(1-C27)</f>
        <v>0.16902937103801274</v>
      </c>
      <c r="D29" s="27">
        <f t="shared" ref="D29:H29" si="10">D26*(1-D27)</f>
        <v>0.12152014155214937</v>
      </c>
      <c r="E29" s="27">
        <f t="shared" si="10"/>
        <v>0.15668192075968054</v>
      </c>
      <c r="F29" s="27">
        <f t="shared" si="10"/>
        <v>-7.4606010205233875E-3</v>
      </c>
      <c r="G29" s="27">
        <f t="shared" si="10"/>
        <v>4.6900300011777654E-2</v>
      </c>
      <c r="H29" s="27">
        <f t="shared" si="10"/>
        <v>4.1950178697187188E-2</v>
      </c>
      <c r="K29" s="28" t="s">
        <v>460</v>
      </c>
      <c r="L29" s="368">
        <f>$Q$29</f>
        <v>2.835E-2</v>
      </c>
      <c r="M29" s="368">
        <f>$Q$29</f>
        <v>2.835E-2</v>
      </c>
      <c r="N29" s="368">
        <f>$Q$29</f>
        <v>2.835E-2</v>
      </c>
      <c r="O29" s="368">
        <f>$Q$29</f>
        <v>2.835E-2</v>
      </c>
      <c r="P29" s="368">
        <f>$Q$29</f>
        <v>2.835E-2</v>
      </c>
      <c r="Q29" s="165">
        <f>T4</f>
        <v>2.835E-2</v>
      </c>
      <c r="S29" s="31" t="s">
        <v>464</v>
      </c>
      <c r="T29" s="32">
        <f>T27*T28</f>
        <v>4.4232625482625493E-2</v>
      </c>
      <c r="W29" s="317">
        <v>4.5</v>
      </c>
      <c r="X29" s="317">
        <v>5.9999989999999999</v>
      </c>
      <c r="Y29" s="317" t="s">
        <v>317</v>
      </c>
      <c r="Z29" s="318">
        <v>1.6199999999999999E-2</v>
      </c>
    </row>
    <row r="30" spans="2:26" x14ac:dyDescent="0.25">
      <c r="K30" s="28" t="s">
        <v>491</v>
      </c>
      <c r="L30" s="27">
        <f t="shared" ref="L30:Q30" si="11">$T$11</f>
        <v>7.3268555384632089E-2</v>
      </c>
      <c r="M30" s="27">
        <f t="shared" si="11"/>
        <v>7.3268555384632089E-2</v>
      </c>
      <c r="N30" s="27">
        <f t="shared" si="11"/>
        <v>7.3268555384632089E-2</v>
      </c>
      <c r="O30" s="27">
        <f t="shared" si="11"/>
        <v>7.3268555384632089E-2</v>
      </c>
      <c r="P30" s="27">
        <f t="shared" si="11"/>
        <v>7.3268555384632089E-2</v>
      </c>
      <c r="Q30" s="27">
        <f t="shared" si="11"/>
        <v>7.3268555384632089E-2</v>
      </c>
      <c r="W30" s="317">
        <v>6</v>
      </c>
      <c r="X30" s="317">
        <v>7.4999989999999999</v>
      </c>
      <c r="Y30" s="317" t="s">
        <v>318</v>
      </c>
      <c r="Z30" s="318">
        <v>1.4200000000000001E-2</v>
      </c>
    </row>
    <row r="31" spans="2:26" x14ac:dyDescent="0.25">
      <c r="B31" s="385" t="s">
        <v>59</v>
      </c>
      <c r="C31" s="385"/>
      <c r="D31" s="385"/>
      <c r="E31" s="385"/>
      <c r="F31" s="385"/>
      <c r="G31" s="385"/>
      <c r="H31" s="385"/>
      <c r="K31" s="28" t="s">
        <v>492</v>
      </c>
      <c r="L31" s="27">
        <f t="shared" ref="L31:Q31" si="12">$T$29</f>
        <v>4.4232625482625493E-2</v>
      </c>
      <c r="M31" s="27">
        <f t="shared" si="12"/>
        <v>4.4232625482625493E-2</v>
      </c>
      <c r="N31" s="27">
        <f t="shared" si="12"/>
        <v>4.4232625482625493E-2</v>
      </c>
      <c r="O31" s="27">
        <f t="shared" si="12"/>
        <v>4.4232625482625493E-2</v>
      </c>
      <c r="P31" s="27">
        <f t="shared" si="12"/>
        <v>4.4232625482625493E-2</v>
      </c>
      <c r="Q31" s="27">
        <f t="shared" si="12"/>
        <v>4.4232625482625493E-2</v>
      </c>
      <c r="W31" s="317">
        <v>7.5</v>
      </c>
      <c r="X31" s="317">
        <v>9.4999990000000007</v>
      </c>
      <c r="Y31" s="317" t="s">
        <v>319</v>
      </c>
      <c r="Z31" s="318">
        <v>1.23E-2</v>
      </c>
    </row>
    <row r="32" spans="2:26" x14ac:dyDescent="0.25">
      <c r="B32" s="28" t="str">
        <f>B25</f>
        <v>Years</v>
      </c>
      <c r="C32" s="28">
        <v>2016</v>
      </c>
      <c r="D32" s="28">
        <v>2017</v>
      </c>
      <c r="E32" s="28">
        <v>2018</v>
      </c>
      <c r="F32" s="28">
        <v>2019</v>
      </c>
      <c r="G32" s="28">
        <v>2020</v>
      </c>
      <c r="H32" s="28">
        <v>2021</v>
      </c>
      <c r="K32" s="28" t="s">
        <v>219</v>
      </c>
      <c r="L32" s="166">
        <f>$T$5</f>
        <v>0.88120714553066715</v>
      </c>
      <c r="M32" s="166">
        <f t="shared" ref="M32:Q32" si="13">$T$5</f>
        <v>0.88120714553066715</v>
      </c>
      <c r="N32" s="166">
        <f t="shared" si="13"/>
        <v>0.88120714553066715</v>
      </c>
      <c r="O32" s="166">
        <f t="shared" si="13"/>
        <v>0.88120714553066715</v>
      </c>
      <c r="P32" s="166">
        <f t="shared" si="13"/>
        <v>0.88120714553066715</v>
      </c>
      <c r="Q32" s="166">
        <f t="shared" si="13"/>
        <v>0.88120714553066715</v>
      </c>
      <c r="W32" s="317">
        <v>9.5</v>
      </c>
      <c r="X32" s="317">
        <v>12.499999000000001</v>
      </c>
      <c r="Y32" s="317" t="s">
        <v>320</v>
      </c>
      <c r="Z32" s="318">
        <v>8.5000000000000006E-3</v>
      </c>
    </row>
    <row r="33" spans="1:26" x14ac:dyDescent="0.25">
      <c r="B33" s="28" t="s">
        <v>59</v>
      </c>
      <c r="C33" s="49">
        <f t="shared" ref="C33:H33" si="14">L17</f>
        <v>1663022.038545178</v>
      </c>
      <c r="D33" s="49">
        <f t="shared" si="14"/>
        <v>1815092.4273766116</v>
      </c>
      <c r="E33" s="49">
        <f t="shared" si="14"/>
        <v>2939624.8967720037</v>
      </c>
      <c r="F33" s="49">
        <f t="shared" si="14"/>
        <v>1616498.8536913251</v>
      </c>
      <c r="G33" s="49">
        <f t="shared" si="14"/>
        <v>1097057.0149954786</v>
      </c>
      <c r="H33" s="49">
        <f t="shared" si="14"/>
        <v>1595090.7982147434</v>
      </c>
      <c r="K33" s="28"/>
      <c r="L33" s="27"/>
      <c r="M33" s="27"/>
      <c r="N33" s="27"/>
      <c r="O33" s="27"/>
      <c r="P33" s="27"/>
      <c r="Q33" s="27"/>
      <c r="W33" s="317">
        <v>12.5</v>
      </c>
      <c r="X33" s="317">
        <v>100000</v>
      </c>
      <c r="Y33" s="317" t="s">
        <v>321</v>
      </c>
      <c r="Z33" s="318">
        <v>6.8999999999999999E-3</v>
      </c>
    </row>
    <row r="34" spans="1:26" x14ac:dyDescent="0.25">
      <c r="B34" s="28" t="s">
        <v>211</v>
      </c>
      <c r="C34" s="30"/>
      <c r="D34" s="27">
        <f>M18</f>
        <v>9.1442196980423496E-2</v>
      </c>
      <c r="E34" s="27">
        <f>N18</f>
        <v>0.61954556827758944</v>
      </c>
      <c r="F34" s="27">
        <f>O18</f>
        <v>-0.45010029835221521</v>
      </c>
      <c r="G34" s="27">
        <f>P18</f>
        <v>-0.32133758555391795</v>
      </c>
      <c r="H34" s="27">
        <f>Q18</f>
        <v>0.45397256150931903</v>
      </c>
      <c r="K34" s="28" t="s">
        <v>496</v>
      </c>
      <c r="L34" s="34">
        <f>'Income Statement'!K65</f>
        <v>0.25</v>
      </c>
      <c r="M34" s="34">
        <f>'Income Statement'!L65</f>
        <v>0.24</v>
      </c>
      <c r="N34" s="34">
        <f>'Income Statement'!M65</f>
        <v>0.23</v>
      </c>
      <c r="O34" s="34">
        <f>'Income Statement'!N65</f>
        <v>0.22</v>
      </c>
      <c r="P34" s="34">
        <f>'Income Statement'!O65</f>
        <v>0.22</v>
      </c>
      <c r="Q34" s="34">
        <f>'Income Statement'!P65</f>
        <v>0.22</v>
      </c>
    </row>
    <row r="35" spans="1:26" x14ac:dyDescent="0.25">
      <c r="K35" s="28" t="s">
        <v>497</v>
      </c>
      <c r="L35" s="27">
        <f>'Balance Sheet'!AE42/('Balance Sheet'!AE42+L44)</f>
        <v>9.6583373806400835E-2</v>
      </c>
      <c r="M35" s="27">
        <f>'Balance Sheet'!AF42/('Balance Sheet'!AF42+M44)</f>
        <v>2.7488921959807913E-2</v>
      </c>
      <c r="N35" s="27">
        <f>'Balance Sheet'!AG42/('Balance Sheet'!AG42+N44)</f>
        <v>1.8563464485455605E-2</v>
      </c>
      <c r="O35" s="27">
        <f>'Balance Sheet'!AH42/('Balance Sheet'!AH42+O44)</f>
        <v>6.6466008708470636E-2</v>
      </c>
      <c r="P35" s="27">
        <f>'Balance Sheet'!AI42/('Balance Sheet'!AI42+P44)</f>
        <v>8.9439777904601198E-2</v>
      </c>
      <c r="Q35" s="27">
        <f>Q51/(Q51+Q44)</f>
        <v>6.601502722461601E-2</v>
      </c>
    </row>
    <row r="36" spans="1:26" x14ac:dyDescent="0.25">
      <c r="K36" s="28" t="s">
        <v>498</v>
      </c>
      <c r="L36" s="27">
        <f>L44/(L44+'Balance Sheet'!AE42)</f>
        <v>0.90341662619359919</v>
      </c>
      <c r="M36" s="27">
        <f>M44/(M44+'Balance Sheet'!AF42)</f>
        <v>0.9725110780401921</v>
      </c>
      <c r="N36" s="27">
        <f>N44/(N44+'Balance Sheet'!AG42)</f>
        <v>0.98143653551454435</v>
      </c>
      <c r="O36" s="27">
        <f>O44/(O44+'Balance Sheet'!AH42)</f>
        <v>0.93353399129152936</v>
      </c>
      <c r="P36" s="27">
        <f>P44/(P44+'Balance Sheet'!AI42)</f>
        <v>0.91056022209539877</v>
      </c>
      <c r="Q36" s="27">
        <f>Q44/(Q44+Q51)</f>
        <v>0.93398497277538395</v>
      </c>
    </row>
    <row r="37" spans="1:26" x14ac:dyDescent="0.25">
      <c r="A37" s="26" t="s">
        <v>220</v>
      </c>
      <c r="B37" s="28" t="s">
        <v>210</v>
      </c>
      <c r="C37" s="26">
        <f>(L15+(L15-(-'Income Statement'!K28/'Balance Sheet'!AE42))*('Balance Sheet'!AE42/'Balance Sheet'!AE31))*'Vekst og lønnsomhet'!C28</f>
        <v>0.16846038958530327</v>
      </c>
      <c r="D37" s="26">
        <f>(M15+(M15-(-'Income Statement'!L28/'Balance Sheet'!AF42))*('Balance Sheet'!AF42/'Balance Sheet'!AF31))*'Vekst og lønnsomhet'!D28</f>
        <v>0.11968033702008017</v>
      </c>
      <c r="E37" s="26">
        <f>(N15+(N15-(-'Income Statement'!M28/'Balance Sheet'!AG42))*('Balance Sheet'!AG42/'Balance Sheet'!AG31))*'Vekst og lønnsomhet'!E28</f>
        <v>0.15560452790451701</v>
      </c>
      <c r="F37" s="26">
        <f>(O15+(O15-(-'Income Statement'!N28/'Balance Sheet'!AH42))*('Balance Sheet'!AH42/'Balance Sheet'!AH31))*'Vekst og lønnsomhet'!F28</f>
        <v>-7.4638959577751091E-3</v>
      </c>
      <c r="G37" s="26">
        <f>(P15+(P15-(-'Income Statement'!O28/'Balance Sheet'!AI42))*('Balance Sheet'!AI42/'Balance Sheet'!AI31))*'Vekst og lønnsomhet'!G28</f>
        <v>4.5366532124676867E-2</v>
      </c>
      <c r="H37" s="26">
        <f>(Q15+(Q15-(-'Income Statement'!P28/'Balance Sheet'!AJ42))*('Balance Sheet'!AJ42/'Balance Sheet'!AJ31))*'Vekst og lønnsomhet'!H28</f>
        <v>4.1448055907299199E-2</v>
      </c>
      <c r="K37" s="31" t="s">
        <v>204</v>
      </c>
      <c r="L37" s="32">
        <f t="shared" ref="L37:P37" si="15">L35*L31*(1-L34)+L36*L30</f>
        <v>6.9396133262733403E-2</v>
      </c>
      <c r="M37" s="32">
        <f t="shared" si="15"/>
        <v>7.2178571247932741E-2</v>
      </c>
      <c r="N37" s="32">
        <f t="shared" si="15"/>
        <v>7.254069245347762E-2</v>
      </c>
      <c r="O37" s="32">
        <f t="shared" si="15"/>
        <v>7.0691860479390911E-2</v>
      </c>
      <c r="P37" s="32">
        <f t="shared" si="15"/>
        <v>6.9801233899096302E-2</v>
      </c>
      <c r="Q37" s="32">
        <f>Q35*Q31*(1-Q34)+Q36*Q30</f>
        <v>7.0709343727059684E-2</v>
      </c>
      <c r="S37" s="99">
        <f>Q51+Q44</f>
        <v>73864562.520055845</v>
      </c>
    </row>
    <row r="38" spans="1:26" x14ac:dyDescent="0.25">
      <c r="R38" s="40">
        <f>Q29*T10*Q36+Q29*(1-Q34)*Q35+S39*((T6+Q29)-Q29*T10)</f>
        <v>6.9891520003225238E-2</v>
      </c>
      <c r="S38" s="27">
        <f>T11*Q36+T29*(1-Q34)*Q35</f>
        <v>7.0709343727059684E-2</v>
      </c>
      <c r="V38" s="26" t="s">
        <v>384</v>
      </c>
      <c r="W38" s="27">
        <v>7.5999999999999998E-2</v>
      </c>
    </row>
    <row r="39" spans="1:26" x14ac:dyDescent="0.25">
      <c r="R39" s="26" t="s">
        <v>388</v>
      </c>
      <c r="S39" s="26">
        <f>Q32*Q36+0*(1-Q34)*Q35</f>
        <v>0.823034231827934</v>
      </c>
      <c r="V39" s="26" t="s">
        <v>383</v>
      </c>
      <c r="W39" s="27">
        <v>6.88E-2</v>
      </c>
    </row>
    <row r="40" spans="1:26" x14ac:dyDescent="0.25">
      <c r="K40" s="385" t="s">
        <v>341</v>
      </c>
      <c r="L40" s="385"/>
      <c r="M40" s="385"/>
      <c r="N40" s="385"/>
      <c r="O40" s="385"/>
      <c r="P40" s="385"/>
      <c r="Q40" s="385"/>
      <c r="V40" s="26" t="s">
        <v>385</v>
      </c>
      <c r="W40" s="27">
        <v>7.4999999999999997E-3</v>
      </c>
    </row>
    <row r="41" spans="1:26" x14ac:dyDescent="0.25">
      <c r="K41" s="28" t="s">
        <v>58</v>
      </c>
      <c r="L41" s="156"/>
      <c r="M41" s="156"/>
      <c r="N41" s="156"/>
      <c r="O41" s="156"/>
      <c r="P41" s="156"/>
      <c r="Q41" s="156"/>
      <c r="S41" s="26" t="s">
        <v>323</v>
      </c>
      <c r="W41" s="27">
        <f>AVERAGE(W38:W39)</f>
        <v>7.2399999999999992E-2</v>
      </c>
    </row>
    <row r="42" spans="1:26" x14ac:dyDescent="0.25">
      <c r="K42" s="28" t="s">
        <v>298</v>
      </c>
      <c r="L42" s="26">
        <v>179.98</v>
      </c>
      <c r="M42" s="26">
        <v>170.43</v>
      </c>
      <c r="N42" s="26">
        <v>379.43</v>
      </c>
      <c r="O42" s="26">
        <v>412.9</v>
      </c>
      <c r="P42" s="26">
        <v>485.56</v>
      </c>
      <c r="Q42" s="26">
        <v>585.64</v>
      </c>
      <c r="R42" s="26" t="s">
        <v>299</v>
      </c>
      <c r="S42" s="99">
        <f>Q43-P43</f>
        <v>4500000</v>
      </c>
    </row>
    <row r="43" spans="1:26" x14ac:dyDescent="0.25">
      <c r="K43" s="28" t="s">
        <v>297</v>
      </c>
      <c r="L43" s="49">
        <v>113299999</v>
      </c>
      <c r="M43" s="49">
        <f>L43</f>
        <v>113299999</v>
      </c>
      <c r="N43" s="49">
        <f>M43</f>
        <v>113299999</v>
      </c>
      <c r="O43" s="49">
        <f>N43</f>
        <v>113299999</v>
      </c>
      <c r="P43" s="49">
        <f>O43</f>
        <v>113299999</v>
      </c>
      <c r="Q43" s="49">
        <v>117799999</v>
      </c>
    </row>
    <row r="44" spans="1:26" x14ac:dyDescent="0.25">
      <c r="K44" s="31" t="s">
        <v>495</v>
      </c>
      <c r="L44" s="88">
        <f>(L42*L43)/1000</f>
        <v>20391733.820020001</v>
      </c>
      <c r="M44" s="88">
        <f t="shared" ref="M44:P44" si="16">(M42*M43)/1000</f>
        <v>19309718.829569999</v>
      </c>
      <c r="N44" s="88">
        <f t="shared" si="16"/>
        <v>42989418.620569997</v>
      </c>
      <c r="O44" s="88">
        <f t="shared" si="16"/>
        <v>46781569.587099999</v>
      </c>
      <c r="P44" s="88">
        <f t="shared" si="16"/>
        <v>55013947.51444</v>
      </c>
      <c r="Q44" s="88">
        <f>(Q42*Q43)/1000</f>
        <v>68988391.414360002</v>
      </c>
    </row>
    <row r="45" spans="1:26" x14ac:dyDescent="0.25">
      <c r="K45" s="28"/>
    </row>
    <row r="46" spans="1:26" x14ac:dyDescent="0.25">
      <c r="K46" s="28" t="s">
        <v>301</v>
      </c>
      <c r="L46" s="49"/>
      <c r="M46" s="49"/>
      <c r="N46" s="49"/>
      <c r="O46" s="49"/>
      <c r="P46" s="49"/>
      <c r="Q46" s="49"/>
    </row>
    <row r="47" spans="1:26" x14ac:dyDescent="0.25">
      <c r="K47" s="28" t="s">
        <v>217</v>
      </c>
      <c r="Q47" s="99">
        <f>Q23</f>
        <v>184646</v>
      </c>
    </row>
    <row r="48" spans="1:26" x14ac:dyDescent="0.25">
      <c r="K48" s="28" t="s">
        <v>237</v>
      </c>
      <c r="Q48" s="27">
        <f>Q31</f>
        <v>4.4232625482625493E-2</v>
      </c>
    </row>
    <row r="49" spans="11:18" x14ac:dyDescent="0.25">
      <c r="K49" s="28" t="s">
        <v>334</v>
      </c>
      <c r="Q49" s="307">
        <f>L69</f>
        <v>4.2186286974425906</v>
      </c>
      <c r="R49" s="40"/>
    </row>
    <row r="50" spans="11:18" x14ac:dyDescent="0.25">
      <c r="K50" s="28" t="s">
        <v>352</v>
      </c>
      <c r="P50" s="49"/>
      <c r="Q50" s="99">
        <f>'Balance Sheet'!AJ42</f>
        <v>5016747</v>
      </c>
    </row>
    <row r="51" spans="11:18" ht="14.4" x14ac:dyDescent="0.3">
      <c r="K51" s="179" t="s">
        <v>339</v>
      </c>
      <c r="Q51" s="319">
        <f>Q47*((1-(1/((1+Q48)^Q49)))/Q48)+(Q50/((1+Q48)^Q49))</f>
        <v>4876171.1056958381</v>
      </c>
    </row>
    <row r="52" spans="11:18" ht="14.4" x14ac:dyDescent="0.3">
      <c r="L52" s="320"/>
      <c r="M52" s="320"/>
      <c r="N52" s="320"/>
      <c r="O52" s="320"/>
      <c r="P52" s="320"/>
      <c r="Q52" s="321"/>
    </row>
    <row r="56" spans="11:18" x14ac:dyDescent="0.25">
      <c r="R56" s="316"/>
    </row>
    <row r="65" spans="11:35" x14ac:dyDescent="0.25">
      <c r="K65" s="322" t="s">
        <v>331</v>
      </c>
      <c r="L65" s="322"/>
      <c r="M65" s="322"/>
      <c r="N65" s="322"/>
      <c r="O65" s="322"/>
      <c r="P65" s="322"/>
      <c r="Q65" s="322"/>
      <c r="R65" s="322"/>
    </row>
    <row r="66" spans="11:35" x14ac:dyDescent="0.25">
      <c r="L66" s="26" t="s">
        <v>63</v>
      </c>
      <c r="M66" s="26">
        <v>2022</v>
      </c>
      <c r="N66" s="26">
        <v>2023</v>
      </c>
      <c r="O66" s="26">
        <v>2024</v>
      </c>
      <c r="P66" s="26">
        <v>2025</v>
      </c>
      <c r="Q66" s="26">
        <v>2026</v>
      </c>
      <c r="R66" s="26" t="s">
        <v>332</v>
      </c>
    </row>
    <row r="67" spans="11:35" x14ac:dyDescent="0.25">
      <c r="K67" s="26" t="s">
        <v>336</v>
      </c>
      <c r="L67" s="49">
        <f>9662503-409257-3376-2317308</f>
        <v>6932562</v>
      </c>
      <c r="M67" s="49">
        <f>153971+112487+195743+54031</f>
        <v>516232</v>
      </c>
      <c r="N67" s="49">
        <v>458619</v>
      </c>
      <c r="O67" s="49">
        <v>1105365</v>
      </c>
      <c r="P67" s="49">
        <v>252986</v>
      </c>
      <c r="Q67" s="49">
        <v>418199</v>
      </c>
      <c r="R67" s="49">
        <v>2181160</v>
      </c>
    </row>
    <row r="68" spans="11:35" x14ac:dyDescent="0.25">
      <c r="K68" s="26" t="s">
        <v>337</v>
      </c>
      <c r="M68" s="40">
        <f t="shared" ref="M68:R68" si="17">M67/$L$67</f>
        <v>7.4464822673060843E-2</v>
      </c>
      <c r="N68" s="40">
        <f t="shared" si="17"/>
        <v>6.6154330823150226E-2</v>
      </c>
      <c r="O68" s="40">
        <f t="shared" si="17"/>
        <v>0.15944538252957566</v>
      </c>
      <c r="P68" s="40">
        <f t="shared" si="17"/>
        <v>3.6492425166915206E-2</v>
      </c>
      <c r="Q68" s="40">
        <f t="shared" si="17"/>
        <v>6.0323874492575758E-2</v>
      </c>
      <c r="R68" s="40">
        <f t="shared" si="17"/>
        <v>0.31462538668965384</v>
      </c>
    </row>
    <row r="69" spans="11:35" x14ac:dyDescent="0.25">
      <c r="K69" s="35" t="s">
        <v>333</v>
      </c>
      <c r="L69" s="35">
        <f>M68*1+N68*2+O68*3+P68*4+Q68*4+R68*10</f>
        <v>4.2186286974425906</v>
      </c>
    </row>
    <row r="70" spans="11:35" x14ac:dyDescent="0.25">
      <c r="L70" s="323">
        <v>4364984</v>
      </c>
      <c r="M70" s="324" t="s">
        <v>342</v>
      </c>
      <c r="N70" s="33"/>
    </row>
    <row r="73" spans="11:35" x14ac:dyDescent="0.25">
      <c r="K73" s="322" t="s">
        <v>300</v>
      </c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</row>
    <row r="74" spans="11:35" x14ac:dyDescent="0.25">
      <c r="K74" s="26" t="s">
        <v>68</v>
      </c>
      <c r="L74" s="26">
        <v>1</v>
      </c>
      <c r="M74" s="26">
        <v>2</v>
      </c>
      <c r="N74" s="26">
        <v>3</v>
      </c>
      <c r="O74" s="26">
        <v>4</v>
      </c>
      <c r="P74" s="26">
        <v>5</v>
      </c>
      <c r="Q74" s="26">
        <v>6</v>
      </c>
      <c r="R74" s="26">
        <v>7</v>
      </c>
      <c r="S74" s="26">
        <v>8</v>
      </c>
      <c r="T74" s="26">
        <v>9</v>
      </c>
      <c r="U74" s="26">
        <v>10</v>
      </c>
      <c r="V74" s="26">
        <v>11</v>
      </c>
      <c r="W74" s="26">
        <v>12</v>
      </c>
      <c r="X74" s="26">
        <v>13</v>
      </c>
      <c r="Y74" s="26">
        <v>14</v>
      </c>
      <c r="Z74" s="26">
        <v>15</v>
      </c>
      <c r="AA74" s="26">
        <v>16</v>
      </c>
      <c r="AB74" s="26">
        <v>17</v>
      </c>
      <c r="AC74" s="26">
        <v>18</v>
      </c>
      <c r="AD74" s="26">
        <v>19</v>
      </c>
      <c r="AE74" s="26">
        <v>20</v>
      </c>
      <c r="AF74" s="26">
        <v>21</v>
      </c>
      <c r="AG74" s="26">
        <v>22</v>
      </c>
      <c r="AH74" s="26">
        <v>23</v>
      </c>
      <c r="AI74" s="26">
        <v>24</v>
      </c>
    </row>
    <row r="75" spans="11:35" x14ac:dyDescent="0.25">
      <c r="K75" s="26" t="s">
        <v>338</v>
      </c>
      <c r="L75" s="99">
        <f>Q87</f>
        <v>58100</v>
      </c>
      <c r="M75" s="99">
        <f>L75</f>
        <v>58100</v>
      </c>
      <c r="N75" s="99">
        <f t="shared" ref="N75:AH75" si="18">M75</f>
        <v>58100</v>
      </c>
      <c r="O75" s="99">
        <f t="shared" si="18"/>
        <v>58100</v>
      </c>
      <c r="P75" s="99">
        <f t="shared" si="18"/>
        <v>58100</v>
      </c>
      <c r="Q75" s="99">
        <f t="shared" si="18"/>
        <v>58100</v>
      </c>
      <c r="R75" s="99">
        <f t="shared" si="18"/>
        <v>58100</v>
      </c>
      <c r="S75" s="99">
        <f t="shared" si="18"/>
        <v>58100</v>
      </c>
      <c r="T75" s="99">
        <f t="shared" si="18"/>
        <v>58100</v>
      </c>
      <c r="U75" s="99">
        <f t="shared" si="18"/>
        <v>58100</v>
      </c>
      <c r="V75" s="99">
        <f t="shared" si="18"/>
        <v>58100</v>
      </c>
      <c r="W75" s="99">
        <f t="shared" si="18"/>
        <v>58100</v>
      </c>
      <c r="X75" s="99">
        <f t="shared" si="18"/>
        <v>58100</v>
      </c>
      <c r="Y75" s="99">
        <f t="shared" si="18"/>
        <v>58100</v>
      </c>
      <c r="Z75" s="99">
        <f t="shared" si="18"/>
        <v>58100</v>
      </c>
      <c r="AA75" s="99">
        <f t="shared" si="18"/>
        <v>58100</v>
      </c>
      <c r="AB75" s="99">
        <f t="shared" si="18"/>
        <v>58100</v>
      </c>
      <c r="AC75" s="99">
        <f t="shared" si="18"/>
        <v>58100</v>
      </c>
      <c r="AD75" s="99">
        <f t="shared" si="18"/>
        <v>58100</v>
      </c>
      <c r="AE75" s="99">
        <f t="shared" si="18"/>
        <v>58100</v>
      </c>
      <c r="AF75" s="99">
        <f t="shared" si="18"/>
        <v>58100</v>
      </c>
      <c r="AG75" s="99">
        <f t="shared" si="18"/>
        <v>58100</v>
      </c>
      <c r="AH75" s="99">
        <f t="shared" si="18"/>
        <v>58100</v>
      </c>
      <c r="AI75" s="99">
        <f>AH75+Q81</f>
        <v>3558100</v>
      </c>
    </row>
    <row r="76" spans="11:35" x14ac:dyDescent="0.25">
      <c r="K76" s="35" t="s">
        <v>335</v>
      </c>
      <c r="L76" s="325">
        <f>NPV(Q84,L75:AI75)+0</f>
        <v>4557187.4054734251</v>
      </c>
    </row>
    <row r="81" spans="11:17" x14ac:dyDescent="0.25">
      <c r="K81" s="28" t="s">
        <v>324</v>
      </c>
      <c r="Q81" s="49">
        <f>(35000*100000)/1000</f>
        <v>3500000</v>
      </c>
    </row>
    <row r="82" spans="11:17" x14ac:dyDescent="0.25">
      <c r="K82" s="28" t="s">
        <v>325</v>
      </c>
      <c r="Q82" s="40">
        <v>1.66E-2</v>
      </c>
    </row>
    <row r="83" spans="11:17" x14ac:dyDescent="0.25">
      <c r="K83" s="28" t="s">
        <v>327</v>
      </c>
      <c r="Q83" s="165">
        <v>1.3849999999999999E-2</v>
      </c>
    </row>
    <row r="84" spans="11:17" x14ac:dyDescent="0.25">
      <c r="K84" s="28" t="s">
        <v>328</v>
      </c>
      <c r="Q84" s="40">
        <f>Q83/4</f>
        <v>3.4624999999999999E-3</v>
      </c>
    </row>
    <row r="85" spans="11:17" x14ac:dyDescent="0.25">
      <c r="K85" s="28" t="s">
        <v>326</v>
      </c>
      <c r="L85" s="49"/>
      <c r="M85" s="49"/>
      <c r="N85" s="49"/>
      <c r="O85" s="49"/>
      <c r="P85" s="49"/>
      <c r="Q85" s="49">
        <v>6</v>
      </c>
    </row>
    <row r="86" spans="11:17" x14ac:dyDescent="0.25">
      <c r="K86" s="28" t="s">
        <v>330</v>
      </c>
      <c r="Q86" s="99">
        <f>Q85*4</f>
        <v>24</v>
      </c>
    </row>
    <row r="87" spans="11:17" x14ac:dyDescent="0.25">
      <c r="K87" s="28" t="s">
        <v>329</v>
      </c>
      <c r="Q87" s="99">
        <f>Q81*Q82</f>
        <v>58100</v>
      </c>
    </row>
    <row r="88" spans="11:17" x14ac:dyDescent="0.25">
      <c r="K88" s="43" t="s">
        <v>340</v>
      </c>
      <c r="L88" s="320"/>
      <c r="M88" s="320"/>
      <c r="N88" s="320"/>
      <c r="O88" s="320"/>
      <c r="P88" s="320"/>
      <c r="Q88" s="326">
        <f>L76</f>
        <v>4557187.4054734251</v>
      </c>
    </row>
    <row r="89" spans="11:17" x14ac:dyDescent="0.25">
      <c r="K89" s="28"/>
    </row>
  </sheetData>
  <mergeCells count="11">
    <mergeCell ref="K40:Q40"/>
    <mergeCell ref="B3:G3"/>
    <mergeCell ref="B18:H18"/>
    <mergeCell ref="B24:H24"/>
    <mergeCell ref="B31:H31"/>
    <mergeCell ref="S3:T3"/>
    <mergeCell ref="K3:Q3"/>
    <mergeCell ref="K13:Q13"/>
    <mergeCell ref="K21:Q21"/>
    <mergeCell ref="K28:Q28"/>
    <mergeCell ref="S20:T20"/>
  </mergeCells>
  <hyperlinks>
    <hyperlink ref="V7" r:id="rId1" xr:uid="{C4860E93-C604-4BD1-A2C0-289481140F8C}"/>
    <hyperlink ref="V4" r:id="rId2" location="/en/genericrates?interesttype=GBON&amp;duration=10Y&amp;frequency=A&amp;startdate=1993-03-30&amp;stopdate=2022-12-31" xr:uid="{CA7B5E12-1384-4D3C-AFC1-6E3CF1CC170A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63C5A-D623-4477-8F5F-FF525E4B54C0}">
  <dimension ref="A1:AL74"/>
  <sheetViews>
    <sheetView showGridLines="0" zoomScale="48" zoomScaleNormal="115" workbookViewId="0">
      <selection activeCell="L89" sqref="L89"/>
    </sheetView>
  </sheetViews>
  <sheetFormatPr defaultColWidth="8.77734375" defaultRowHeight="14.4" x14ac:dyDescent="0.3"/>
  <cols>
    <col min="1" max="1" width="11.109375" customWidth="1"/>
    <col min="2" max="3" width="9" bestFit="1" customWidth="1"/>
    <col min="4" max="4" width="17.44140625" customWidth="1"/>
    <col min="5" max="5" width="20.77734375" bestFit="1" customWidth="1"/>
    <col min="6" max="6" width="17.44140625" customWidth="1"/>
    <col min="7" max="7" width="18.44140625" customWidth="1"/>
    <col min="8" max="8" width="11.44140625" customWidth="1"/>
    <col min="9" max="9" width="10.77734375" customWidth="1"/>
    <col min="11" max="11" width="35" bestFit="1" customWidth="1"/>
    <col min="12" max="12" width="24.109375" customWidth="1"/>
    <col min="13" max="13" width="16" customWidth="1"/>
    <col min="14" max="14" width="12.109375" customWidth="1"/>
    <col min="15" max="15" width="13.109375" bestFit="1" customWidth="1"/>
    <col min="16" max="16" width="15.6640625" customWidth="1"/>
    <col min="17" max="19" width="9.109375" bestFit="1" customWidth="1"/>
    <col min="20" max="20" width="20.77734375" bestFit="1" customWidth="1"/>
    <col min="21" max="21" width="11.77734375" customWidth="1"/>
    <col min="22" max="22" width="11.109375" bestFit="1" customWidth="1"/>
    <col min="23" max="23" width="9" bestFit="1" customWidth="1"/>
    <col min="24" max="24" width="22.44140625" customWidth="1"/>
    <col min="25" max="25" width="11.6640625" customWidth="1"/>
    <col min="26" max="26" width="13.77734375" customWidth="1"/>
    <col min="27" max="27" width="11" customWidth="1"/>
    <col min="28" max="28" width="9" bestFit="1" customWidth="1"/>
    <col min="29" max="29" width="11.44140625" customWidth="1"/>
    <col min="30" max="31" width="10.44140625" customWidth="1"/>
    <col min="32" max="34" width="9" bestFit="1" customWidth="1"/>
    <col min="38" max="38" width="8.77734375" customWidth="1"/>
  </cols>
  <sheetData>
    <row r="1" spans="1:38" ht="15" thickBot="1" x14ac:dyDescent="0.35">
      <c r="A1" t="s">
        <v>228</v>
      </c>
      <c r="B1" t="s">
        <v>229</v>
      </c>
      <c r="C1" t="s">
        <v>230</v>
      </c>
      <c r="D1" s="2" t="s">
        <v>286</v>
      </c>
      <c r="E1" t="s">
        <v>287</v>
      </c>
      <c r="F1" t="s">
        <v>286</v>
      </c>
      <c r="G1" t="s">
        <v>465</v>
      </c>
      <c r="J1" s="2"/>
      <c r="K1" s="21"/>
      <c r="L1" s="221" t="s">
        <v>233</v>
      </c>
      <c r="M1" s="15"/>
      <c r="N1" s="15" t="s">
        <v>234</v>
      </c>
      <c r="O1" s="15" t="s">
        <v>231</v>
      </c>
      <c r="P1" s="222" t="s">
        <v>232</v>
      </c>
      <c r="Q1" s="15"/>
      <c r="R1" s="15"/>
      <c r="S1" s="15"/>
      <c r="T1" s="223"/>
      <c r="V1" t="s">
        <v>228</v>
      </c>
      <c r="W1" t="s">
        <v>238</v>
      </c>
      <c r="X1" t="s">
        <v>230</v>
      </c>
      <c r="Y1" s="2"/>
      <c r="Z1" t="s">
        <v>252</v>
      </c>
      <c r="AA1" t="s">
        <v>255</v>
      </c>
      <c r="AB1" t="s">
        <v>230</v>
      </c>
      <c r="AC1" s="2"/>
      <c r="AD1" t="s">
        <v>252</v>
      </c>
      <c r="AE1" t="s">
        <v>239</v>
      </c>
      <c r="AF1" t="s">
        <v>230</v>
      </c>
      <c r="AG1" s="2"/>
      <c r="AH1" t="s">
        <v>252</v>
      </c>
      <c r="AI1" t="s">
        <v>240</v>
      </c>
      <c r="AJ1" t="s">
        <v>230</v>
      </c>
      <c r="AK1" s="2"/>
      <c r="AL1" t="s">
        <v>252</v>
      </c>
    </row>
    <row r="2" spans="1:38" ht="15" thickBot="1" x14ac:dyDescent="0.35">
      <c r="A2" s="162">
        <v>42736</v>
      </c>
      <c r="B2">
        <v>179.97605899999999</v>
      </c>
      <c r="C2">
        <v>693.11999500000002</v>
      </c>
      <c r="D2" s="163"/>
      <c r="E2" s="177"/>
      <c r="F2" s="170"/>
      <c r="K2" s="18"/>
      <c r="L2" s="167"/>
      <c r="N2" s="169"/>
      <c r="O2" s="169"/>
      <c r="P2" s="169"/>
      <c r="T2" s="14"/>
      <c r="V2" s="162">
        <v>42736</v>
      </c>
      <c r="W2">
        <v>59.468674</v>
      </c>
      <c r="X2">
        <v>693.11999500000002</v>
      </c>
      <c r="Y2" s="163"/>
      <c r="Z2" s="163"/>
      <c r="AA2">
        <v>38.527298000000002</v>
      </c>
      <c r="AB2">
        <v>693.11999500000002</v>
      </c>
      <c r="AC2" s="163"/>
      <c r="AD2" s="163"/>
      <c r="AE2">
        <v>123.15379299999999</v>
      </c>
      <c r="AF2">
        <v>693.11999500000002</v>
      </c>
      <c r="AG2" s="163"/>
      <c r="AH2" s="163"/>
      <c r="AI2">
        <v>279.91207900000001</v>
      </c>
      <c r="AJ2">
        <v>693.11999500000002</v>
      </c>
      <c r="AK2" s="163"/>
      <c r="AL2" s="163"/>
    </row>
    <row r="3" spans="1:38" ht="15" thickBot="1" x14ac:dyDescent="0.35">
      <c r="A3" s="162">
        <v>42767</v>
      </c>
      <c r="B3">
        <v>163.46729999999999</v>
      </c>
      <c r="C3">
        <v>690.27002000000005</v>
      </c>
      <c r="D3" s="164">
        <f t="shared" ref="D3:D34" si="0">(B3-B2)/B2</f>
        <v>-9.1727528048605608E-2</v>
      </c>
      <c r="E3" s="164">
        <f t="shared" ref="E3:E61" si="1">(C3-C2)/C2</f>
        <v>-4.1118060661342951E-3</v>
      </c>
      <c r="F3" s="170">
        <v>-9.1727528048605608E-2</v>
      </c>
      <c r="G3">
        <f>_xlfn.STDEV.S(F3:F61)</f>
        <v>9.8933802200041415E-2</v>
      </c>
      <c r="K3" s="18" t="s">
        <v>253</v>
      </c>
      <c r="L3" s="176">
        <f>P3/O3</f>
        <v>0.77631696877166623</v>
      </c>
      <c r="N3" s="168">
        <f>_xlfn.VAR.S(D3:D61)</f>
        <v>9.7878972177569187E-3</v>
      </c>
      <c r="O3" s="168">
        <f>_xlfn.VAR.S($E$3:$E$61)</f>
        <v>1.770789934705457E-3</v>
      </c>
      <c r="P3" s="168">
        <f>_xlfn.COVARIANCE.S(D3:D61,E3:E61)</f>
        <v>1.3746942744419172E-3</v>
      </c>
      <c r="R3" s="170"/>
      <c r="T3" s="14"/>
      <c r="V3" s="162">
        <v>42767</v>
      </c>
      <c r="W3">
        <v>66.697868</v>
      </c>
      <c r="X3">
        <v>690.27002000000005</v>
      </c>
      <c r="Y3" s="164">
        <f t="shared" ref="Y3:Y60" si="2">(W3-W2)/W2</f>
        <v>0.12156306024243957</v>
      </c>
      <c r="Z3" s="164">
        <f>(X3-X2)/X2</f>
        <v>-4.1118060661342951E-3</v>
      </c>
      <c r="AA3">
        <v>37.142631999999999</v>
      </c>
      <c r="AB3">
        <v>690.27002000000005</v>
      </c>
      <c r="AC3" s="164">
        <f t="shared" ref="AC3:AC60" si="3">(AA3-AA2)/AA2</f>
        <v>-3.5939867882767249E-2</v>
      </c>
      <c r="AD3" s="164">
        <f>(AB3-AB2)/AB2</f>
        <v>-4.1118060661342951E-3</v>
      </c>
      <c r="AE3">
        <v>123.829567</v>
      </c>
      <c r="AF3">
        <v>690.27002000000005</v>
      </c>
      <c r="AG3" s="164">
        <f t="shared" ref="AG3:AG61" si="4">(AE3-AE2)/AE2</f>
        <v>5.4872365969272597E-3</v>
      </c>
      <c r="AH3" s="164">
        <f t="shared" ref="AH3:AH61" si="5">(AF3-AF2)/AF2</f>
        <v>-4.1118060661342951E-3</v>
      </c>
      <c r="AI3">
        <v>275.84768700000001</v>
      </c>
      <c r="AJ3">
        <v>690.27002000000005</v>
      </c>
      <c r="AK3" s="164">
        <f t="shared" ref="AK3:AK61" si="6">(AI3-AI2)/AI2</f>
        <v>-1.4520245123112382E-2</v>
      </c>
      <c r="AL3" s="164">
        <f t="shared" ref="AL3:AL61" si="7">(AJ3-AJ2)/AJ2</f>
        <v>-4.1118060661342951E-3</v>
      </c>
    </row>
    <row r="4" spans="1:38" ht="15" thickBot="1" x14ac:dyDescent="0.35">
      <c r="A4" s="162">
        <v>42795</v>
      </c>
      <c r="B4">
        <v>142.86996500000001</v>
      </c>
      <c r="C4">
        <v>687.84997599999997</v>
      </c>
      <c r="D4" s="164">
        <f t="shared" si="0"/>
        <v>-0.1260027846547902</v>
      </c>
      <c r="E4" s="164">
        <f t="shared" si="1"/>
        <v>-3.5059381544631984E-3</v>
      </c>
      <c r="F4" s="170">
        <v>-0.1260027846547902</v>
      </c>
      <c r="K4" s="18" t="s">
        <v>254</v>
      </c>
      <c r="L4" s="176">
        <f>P4/O4</f>
        <v>1.0386729491623341</v>
      </c>
      <c r="N4" s="168">
        <f>_xlfn.VAR.S(Y3:Y61)</f>
        <v>1.026607125818434E-2</v>
      </c>
      <c r="O4" s="168">
        <f t="shared" ref="O4:O6" si="8">_xlfn.VAR.S($E$3:$E$61)</f>
        <v>1.770789934705457E-3</v>
      </c>
      <c r="P4" s="168">
        <f>_xlfn.COVARIANCE.S(Y3:Y61,Z3:Z61)</f>
        <v>1.839271603827494E-3</v>
      </c>
      <c r="T4" s="14"/>
      <c r="V4" s="162">
        <v>42795</v>
      </c>
      <c r="W4">
        <v>55.466805000000001</v>
      </c>
      <c r="X4">
        <v>687.84997599999997</v>
      </c>
      <c r="Y4" s="164">
        <f t="shared" si="2"/>
        <v>-0.16838713645239753</v>
      </c>
      <c r="Z4" s="164">
        <f t="shared" ref="Z4:Z60" si="9">(X4-X3)/X3</f>
        <v>-3.5059381544631984E-3</v>
      </c>
      <c r="AA4">
        <v>31.553608000000001</v>
      </c>
      <c r="AB4">
        <v>687.84997599999997</v>
      </c>
      <c r="AC4" s="164">
        <f t="shared" si="3"/>
        <v>-0.15047463518471169</v>
      </c>
      <c r="AD4" s="164">
        <f t="shared" ref="AD4:AD60" si="10">(AB4-AB3)/AB3</f>
        <v>-3.5059381544631984E-3</v>
      </c>
      <c r="AE4">
        <v>110.568108</v>
      </c>
      <c r="AF4">
        <v>687.84997599999997</v>
      </c>
      <c r="AG4" s="164">
        <f t="shared" si="4"/>
        <v>-0.10709444699907578</v>
      </c>
      <c r="AH4" s="164">
        <f t="shared" si="5"/>
        <v>-3.5059381544631984E-3</v>
      </c>
      <c r="AI4">
        <v>234.67375200000001</v>
      </c>
      <c r="AJ4">
        <v>687.84997599999997</v>
      </c>
      <c r="AK4" s="164">
        <f t="shared" si="6"/>
        <v>-0.14926329616097161</v>
      </c>
      <c r="AL4" s="164">
        <f t="shared" si="7"/>
        <v>-3.5059381544631984E-3</v>
      </c>
    </row>
    <row r="5" spans="1:38" ht="15" thickBot="1" x14ac:dyDescent="0.35">
      <c r="A5" s="162">
        <v>42826</v>
      </c>
      <c r="B5">
        <v>157.141525</v>
      </c>
      <c r="C5">
        <v>697.65997300000004</v>
      </c>
      <c r="D5" s="164">
        <f t="shared" si="0"/>
        <v>9.9891954197650942E-2</v>
      </c>
      <c r="E5" s="164">
        <f t="shared" si="1"/>
        <v>1.4261826477115509E-2</v>
      </c>
      <c r="F5" s="170">
        <v>9.9891954197650942E-2</v>
      </c>
      <c r="K5" s="18" t="s">
        <v>257</v>
      </c>
      <c r="L5" s="176">
        <f>P5/O5</f>
        <v>0.97811622515971786</v>
      </c>
      <c r="N5" s="168">
        <f>_xlfn.VAR.S(AC3:AC61)</f>
        <v>8.3552641127487125E-3</v>
      </c>
      <c r="O5" s="168">
        <f t="shared" si="8"/>
        <v>1.770789934705457E-3</v>
      </c>
      <c r="P5" s="168">
        <f>_xlfn.COVARIANCE.S(AC3:AC61,AD3:AD61)</f>
        <v>1.7320383664849249E-3</v>
      </c>
      <c r="T5" s="14"/>
      <c r="V5" s="162">
        <v>42826</v>
      </c>
      <c r="W5">
        <v>58.048653000000002</v>
      </c>
      <c r="X5">
        <v>697.65997300000004</v>
      </c>
      <c r="Y5" s="164">
        <f t="shared" si="2"/>
        <v>4.6547624295287977E-2</v>
      </c>
      <c r="Z5" s="164">
        <f t="shared" si="9"/>
        <v>1.4261826477115509E-2</v>
      </c>
      <c r="AA5">
        <v>36.219512999999999</v>
      </c>
      <c r="AB5">
        <v>697.65997300000004</v>
      </c>
      <c r="AC5" s="164">
        <f t="shared" si="3"/>
        <v>0.1478723130489546</v>
      </c>
      <c r="AD5" s="164">
        <f t="shared" si="10"/>
        <v>1.4261826477115509E-2</v>
      </c>
      <c r="AE5">
        <v>120.619781</v>
      </c>
      <c r="AF5">
        <v>697.65997300000004</v>
      </c>
      <c r="AG5" s="164">
        <f t="shared" si="4"/>
        <v>9.0909333458071007E-2</v>
      </c>
      <c r="AH5" s="164">
        <f t="shared" si="5"/>
        <v>1.4261826477115509E-2</v>
      </c>
      <c r="AI5">
        <v>257.116241</v>
      </c>
      <c r="AJ5">
        <v>697.65997300000004</v>
      </c>
      <c r="AK5" s="164">
        <f t="shared" si="6"/>
        <v>9.5632719078015987E-2</v>
      </c>
      <c r="AL5" s="164">
        <f t="shared" si="7"/>
        <v>1.4261826477115509E-2</v>
      </c>
    </row>
    <row r="6" spans="1:38" ht="15" thickBot="1" x14ac:dyDescent="0.35">
      <c r="A6" s="162">
        <v>42856</v>
      </c>
      <c r="B6">
        <v>176.42742899999999</v>
      </c>
      <c r="C6">
        <v>710.34002699999996</v>
      </c>
      <c r="D6" s="164">
        <f t="shared" si="0"/>
        <v>0.12272952041161614</v>
      </c>
      <c r="E6" s="164">
        <f t="shared" si="1"/>
        <v>1.817512038919843E-2</v>
      </c>
      <c r="F6" s="170">
        <v>0.12272952041161614</v>
      </c>
      <c r="K6" s="18" t="s">
        <v>256</v>
      </c>
      <c r="L6" s="176">
        <f>P6/O6</f>
        <v>1.0390732437325774</v>
      </c>
      <c r="N6" s="168">
        <f>_xlfn.VAR.S(AG3:AG61)</f>
        <v>5.177651519201713E-3</v>
      </c>
      <c r="O6" s="168">
        <f t="shared" si="8"/>
        <v>1.770789934705457E-3</v>
      </c>
      <c r="P6" s="168">
        <f>_xlfn.COVARIANCE.S(AG3:AG61,AH3:AH61)</f>
        <v>1.8399804414233982E-3</v>
      </c>
      <c r="T6" s="14"/>
      <c r="V6" s="162">
        <v>42856</v>
      </c>
      <c r="W6">
        <v>54.563160000000003</v>
      </c>
      <c r="X6">
        <v>710.34002699999996</v>
      </c>
      <c r="Y6" s="164">
        <f t="shared" si="2"/>
        <v>-6.0044339013344515E-2</v>
      </c>
      <c r="Z6" s="164">
        <f t="shared" si="9"/>
        <v>1.817512038919843E-2</v>
      </c>
      <c r="AA6">
        <v>38.183228</v>
      </c>
      <c r="AB6">
        <v>710.34002699999996</v>
      </c>
      <c r="AC6" s="164">
        <f t="shared" si="3"/>
        <v>5.4217045933223913E-2</v>
      </c>
      <c r="AD6" s="164">
        <f t="shared" si="10"/>
        <v>1.817512038919843E-2</v>
      </c>
      <c r="AE6">
        <v>125.01209299999999</v>
      </c>
      <c r="AF6">
        <v>710.34002699999996</v>
      </c>
      <c r="AG6" s="164">
        <f t="shared" si="4"/>
        <v>3.6414524745323404E-2</v>
      </c>
      <c r="AH6" s="164">
        <f t="shared" si="5"/>
        <v>1.817512038919843E-2</v>
      </c>
      <c r="AI6">
        <v>285.58956899999998</v>
      </c>
      <c r="AJ6">
        <v>710.34002699999996</v>
      </c>
      <c r="AK6" s="164">
        <f t="shared" si="6"/>
        <v>0.11074107138957426</v>
      </c>
      <c r="AL6" s="164">
        <f t="shared" si="7"/>
        <v>1.817512038919843E-2</v>
      </c>
    </row>
    <row r="7" spans="1:38" ht="15" thickBot="1" x14ac:dyDescent="0.35">
      <c r="A7" s="162">
        <v>42887</v>
      </c>
      <c r="B7">
        <v>159.76442</v>
      </c>
      <c r="C7">
        <v>698.580017</v>
      </c>
      <c r="D7" s="164">
        <f t="shared" si="0"/>
        <v>-9.44468164301141E-2</v>
      </c>
      <c r="E7" s="164">
        <f t="shared" si="1"/>
        <v>-1.6555465767100812E-2</v>
      </c>
      <c r="F7" s="170">
        <v>-9.44468164301141E-2</v>
      </c>
      <c r="K7" s="18" t="s">
        <v>258</v>
      </c>
      <c r="L7" s="176">
        <f>P7/O7</f>
        <v>0.80931904318608305</v>
      </c>
      <c r="N7" s="168">
        <f>_xlfn.VAR.S(AK3:AK61)</f>
        <v>7.9323455097071033E-3</v>
      </c>
      <c r="O7" s="168">
        <f>_xlfn.VAR.S(AL3:AL61)</f>
        <v>1.770789934705457E-3</v>
      </c>
      <c r="P7" s="168">
        <f>_xlfn.COVARIANCE.S(AK3:AK61,AL3:AL61)</f>
        <v>1.4331340156393669E-3</v>
      </c>
      <c r="T7" s="14"/>
      <c r="V7" s="162">
        <v>42887</v>
      </c>
      <c r="W7">
        <v>50.087944</v>
      </c>
      <c r="X7">
        <v>698.580017</v>
      </c>
      <c r="Y7" s="164">
        <f t="shared" si="2"/>
        <v>-8.2019003298196128E-2</v>
      </c>
      <c r="Z7" s="164">
        <f t="shared" si="9"/>
        <v>-1.6555465767100812E-2</v>
      </c>
      <c r="AA7">
        <v>39.131011999999998</v>
      </c>
      <c r="AB7">
        <v>698.580017</v>
      </c>
      <c r="AC7" s="164">
        <f t="shared" si="3"/>
        <v>2.4821997762996848E-2</v>
      </c>
      <c r="AD7" s="164">
        <f t="shared" si="10"/>
        <v>-1.6555465767100812E-2</v>
      </c>
      <c r="AE7">
        <v>120.704224</v>
      </c>
      <c r="AF7">
        <v>698.580017</v>
      </c>
      <c r="AG7" s="164">
        <f t="shared" si="4"/>
        <v>-3.445961823869309E-2</v>
      </c>
      <c r="AH7" s="164">
        <f t="shared" si="5"/>
        <v>-1.6555465767100812E-2</v>
      </c>
      <c r="AI7">
        <v>286.86694299999999</v>
      </c>
      <c r="AJ7">
        <v>698.580017</v>
      </c>
      <c r="AK7" s="164">
        <f t="shared" si="6"/>
        <v>4.4727613983688913E-3</v>
      </c>
      <c r="AL7" s="164">
        <f t="shared" si="7"/>
        <v>-1.6555465767100812E-2</v>
      </c>
    </row>
    <row r="8" spans="1:38" x14ac:dyDescent="0.3">
      <c r="A8" s="162">
        <v>42917</v>
      </c>
      <c r="B8">
        <v>166.286179</v>
      </c>
      <c r="C8">
        <v>732.51000999999997</v>
      </c>
      <c r="D8" s="164">
        <f t="shared" si="0"/>
        <v>4.0821097713746299E-2</v>
      </c>
      <c r="E8" s="164">
        <f t="shared" si="1"/>
        <v>4.8569944994576002E-2</v>
      </c>
      <c r="F8" s="170">
        <v>4.0821097713746299E-2</v>
      </c>
      <c r="K8" s="18"/>
      <c r="T8" s="14"/>
      <c r="V8" s="162">
        <v>42917</v>
      </c>
      <c r="W8">
        <v>58.247943999999997</v>
      </c>
      <c r="X8">
        <v>732.51000999999997</v>
      </c>
      <c r="Y8" s="164">
        <f t="shared" si="2"/>
        <v>0.16291345478265182</v>
      </c>
      <c r="Z8" s="164">
        <f t="shared" si="9"/>
        <v>4.8569944994576002E-2</v>
      </c>
      <c r="AA8">
        <v>39.372619999999998</v>
      </c>
      <c r="AB8">
        <v>732.51000999999997</v>
      </c>
      <c r="AC8" s="164">
        <f t="shared" si="3"/>
        <v>6.1743355883563502E-3</v>
      </c>
      <c r="AD8" s="164">
        <f t="shared" si="10"/>
        <v>4.8569944994576002E-2</v>
      </c>
      <c r="AE8">
        <v>123.745041</v>
      </c>
      <c r="AF8">
        <v>732.51000999999997</v>
      </c>
      <c r="AG8" s="164">
        <f t="shared" si="4"/>
        <v>2.519229981545637E-2</v>
      </c>
      <c r="AH8" s="164">
        <f t="shared" si="5"/>
        <v>4.8569944994576002E-2</v>
      </c>
      <c r="AI8">
        <v>281.84860200000003</v>
      </c>
      <c r="AJ8">
        <v>732.51000999999997</v>
      </c>
      <c r="AK8" s="164">
        <f t="shared" si="6"/>
        <v>-1.7493618984185166E-2</v>
      </c>
      <c r="AL8" s="164">
        <f t="shared" si="7"/>
        <v>4.8569944994576002E-2</v>
      </c>
    </row>
    <row r="9" spans="1:38" x14ac:dyDescent="0.3">
      <c r="A9" s="162">
        <v>42948</v>
      </c>
      <c r="B9">
        <v>182.95547500000001</v>
      </c>
      <c r="C9">
        <v>739.86999500000002</v>
      </c>
      <c r="D9" s="164">
        <f t="shared" si="0"/>
        <v>0.10024462706548812</v>
      </c>
      <c r="E9" s="164">
        <f t="shared" si="1"/>
        <v>1.004762378605591E-2</v>
      </c>
      <c r="F9" s="170">
        <v>0.10024462706548812</v>
      </c>
      <c r="K9" s="18" t="s">
        <v>242</v>
      </c>
      <c r="L9" t="s">
        <v>243</v>
      </c>
      <c r="M9" t="s">
        <v>290</v>
      </c>
      <c r="N9" t="s">
        <v>58</v>
      </c>
      <c r="O9" t="s">
        <v>291</v>
      </c>
      <c r="P9" t="s">
        <v>244</v>
      </c>
      <c r="Q9" t="s">
        <v>57</v>
      </c>
      <c r="R9" t="s">
        <v>180</v>
      </c>
      <c r="S9" t="s">
        <v>245</v>
      </c>
      <c r="T9" s="14"/>
      <c r="V9" s="162">
        <v>42948</v>
      </c>
      <c r="W9">
        <v>69.321372999999994</v>
      </c>
      <c r="X9">
        <v>739.86999500000002</v>
      </c>
      <c r="Y9" s="164">
        <f t="shared" si="2"/>
        <v>0.1901084955032919</v>
      </c>
      <c r="Z9" s="164">
        <f t="shared" si="9"/>
        <v>1.004762378605591E-2</v>
      </c>
      <c r="AA9">
        <v>44.523933</v>
      </c>
      <c r="AB9">
        <v>739.86999500000002</v>
      </c>
      <c r="AC9" s="164">
        <f t="shared" si="3"/>
        <v>0.1308349050685477</v>
      </c>
      <c r="AD9" s="164">
        <f t="shared" si="10"/>
        <v>1.004762378605591E-2</v>
      </c>
      <c r="AE9">
        <v>130.164627</v>
      </c>
      <c r="AF9">
        <v>739.86999500000002</v>
      </c>
      <c r="AG9" s="164">
        <f t="shared" si="4"/>
        <v>5.187752129800495E-2</v>
      </c>
      <c r="AH9" s="164">
        <f t="shared" si="5"/>
        <v>1.004762378605591E-2</v>
      </c>
      <c r="AI9">
        <v>330.48095699999999</v>
      </c>
      <c r="AJ9">
        <v>739.86999500000002</v>
      </c>
      <c r="AK9" s="164">
        <f t="shared" si="6"/>
        <v>0.17254779571338785</v>
      </c>
      <c r="AL9" s="164">
        <f t="shared" si="7"/>
        <v>1.004762378605591E-2</v>
      </c>
    </row>
    <row r="10" spans="1:38" x14ac:dyDescent="0.3">
      <c r="A10" s="162">
        <v>42979</v>
      </c>
      <c r="B10">
        <v>182.95547500000001</v>
      </c>
      <c r="C10">
        <v>783.09002699999996</v>
      </c>
      <c r="D10" s="164">
        <f t="shared" si="0"/>
        <v>0</v>
      </c>
      <c r="E10" s="164">
        <f t="shared" si="1"/>
        <v>5.8415711262895513E-2</v>
      </c>
      <c r="F10" s="170">
        <v>0</v>
      </c>
      <c r="K10" s="18" t="s">
        <v>238</v>
      </c>
      <c r="L10" s="9">
        <f>L4</f>
        <v>1.0386729491623341</v>
      </c>
      <c r="M10">
        <v>1532543</v>
      </c>
      <c r="N10">
        <v>5563302</v>
      </c>
      <c r="O10" s="9">
        <f t="shared" ref="O10:O13" si="11">M10/N10</f>
        <v>0.2754736305884527</v>
      </c>
      <c r="P10">
        <v>853678</v>
      </c>
      <c r="Q10">
        <v>604377</v>
      </c>
      <c r="R10" s="9">
        <f t="shared" ref="R10:R11" si="12">1-(Q10/P10)</f>
        <v>0.2920316559639583</v>
      </c>
      <c r="S10" s="9">
        <f>L10/(1+(1-R10)*O10)</f>
        <v>0.86916302984970495</v>
      </c>
      <c r="T10" s="14"/>
      <c r="V10" s="162">
        <v>42979</v>
      </c>
      <c r="W10">
        <v>70.581749000000002</v>
      </c>
      <c r="X10">
        <v>783.09002699999996</v>
      </c>
      <c r="Y10" s="164">
        <f t="shared" si="2"/>
        <v>1.8181636419694228E-2</v>
      </c>
      <c r="Z10" s="164">
        <f t="shared" si="9"/>
        <v>5.8415711262895513E-2</v>
      </c>
      <c r="AA10">
        <v>43.963070000000002</v>
      </c>
      <c r="AB10">
        <v>783.09002699999996</v>
      </c>
      <c r="AC10" s="164">
        <f t="shared" si="3"/>
        <v>-1.2596888060180975E-2</v>
      </c>
      <c r="AD10" s="164">
        <f t="shared" si="10"/>
        <v>5.8415711262895513E-2</v>
      </c>
      <c r="AE10">
        <v>133.036484</v>
      </c>
      <c r="AF10">
        <v>783.09002699999996</v>
      </c>
      <c r="AG10" s="164">
        <f t="shared" si="4"/>
        <v>2.2063267618782526E-2</v>
      </c>
      <c r="AH10" s="164">
        <f t="shared" si="5"/>
        <v>5.8415711262895513E-2</v>
      </c>
      <c r="AI10">
        <v>333.856964</v>
      </c>
      <c r="AJ10">
        <v>783.09002699999996</v>
      </c>
      <c r="AK10" s="164">
        <f t="shared" si="6"/>
        <v>1.0215435801948539E-2</v>
      </c>
      <c r="AL10" s="164">
        <f t="shared" si="7"/>
        <v>5.8415711262895513E-2</v>
      </c>
    </row>
    <row r="11" spans="1:38" x14ac:dyDescent="0.3">
      <c r="A11" s="162">
        <v>43009</v>
      </c>
      <c r="B11">
        <v>198.16108700000001</v>
      </c>
      <c r="C11">
        <v>806.95001200000002</v>
      </c>
      <c r="D11" s="164">
        <f t="shared" si="0"/>
        <v>8.3110997361516517E-2</v>
      </c>
      <c r="E11" s="164">
        <f t="shared" si="1"/>
        <v>3.0469019113175417E-2</v>
      </c>
      <c r="F11" s="170">
        <v>8.3110997361516517E-2</v>
      </c>
      <c r="K11" s="18" t="s">
        <v>239</v>
      </c>
      <c r="L11" s="9">
        <f>L6</f>
        <v>1.0390732437325774</v>
      </c>
      <c r="M11">
        <v>1264100</v>
      </c>
      <c r="N11">
        <v>3131400</v>
      </c>
      <c r="O11" s="9">
        <f t="shared" si="11"/>
        <v>0.40368525260266974</v>
      </c>
      <c r="P11">
        <v>593400</v>
      </c>
      <c r="Q11">
        <v>487600</v>
      </c>
      <c r="R11" s="9">
        <f t="shared" si="12"/>
        <v>0.17829457364341084</v>
      </c>
      <c r="S11" s="9">
        <f t="shared" ref="S11:S14" si="13">L11/(1+(1-R11)*O11)</f>
        <v>0.78025468068071036</v>
      </c>
      <c r="T11" s="14"/>
      <c r="V11" s="162">
        <v>43009</v>
      </c>
      <c r="W11">
        <v>69.816513</v>
      </c>
      <c r="X11">
        <v>806.95001200000002</v>
      </c>
      <c r="Y11" s="164">
        <f t="shared" si="2"/>
        <v>-1.0841839580937582E-2</v>
      </c>
      <c r="Z11" s="164">
        <f t="shared" si="9"/>
        <v>3.0469019113175417E-2</v>
      </c>
      <c r="AA11">
        <v>42.332256000000001</v>
      </c>
      <c r="AB11">
        <v>806.95001200000002</v>
      </c>
      <c r="AC11" s="164">
        <f t="shared" si="3"/>
        <v>-3.709508912821604E-2</v>
      </c>
      <c r="AD11" s="164">
        <f t="shared" si="10"/>
        <v>3.0469019113175417E-2</v>
      </c>
      <c r="AE11">
        <v>134.725876</v>
      </c>
      <c r="AF11">
        <v>806.95001200000002</v>
      </c>
      <c r="AG11" s="164">
        <f t="shared" si="4"/>
        <v>1.2698712031505568E-2</v>
      </c>
      <c r="AH11" s="164">
        <f t="shared" si="5"/>
        <v>3.0469019113175417E-2</v>
      </c>
      <c r="AI11">
        <v>332.94448899999998</v>
      </c>
      <c r="AJ11">
        <v>806.95001200000002</v>
      </c>
      <c r="AK11" s="164">
        <f t="shared" si="6"/>
        <v>-2.7331315455202815E-3</v>
      </c>
      <c r="AL11" s="164">
        <f t="shared" si="7"/>
        <v>3.0469019113175417E-2</v>
      </c>
    </row>
    <row r="12" spans="1:38" x14ac:dyDescent="0.3">
      <c r="A12" s="162">
        <v>43040</v>
      </c>
      <c r="B12">
        <v>198.16108700000001</v>
      </c>
      <c r="C12">
        <v>796.830017</v>
      </c>
      <c r="D12" s="164">
        <f t="shared" si="0"/>
        <v>0</v>
      </c>
      <c r="E12" s="164">
        <f t="shared" si="1"/>
        <v>-1.2541043248661624E-2</v>
      </c>
      <c r="F12" s="170">
        <v>0</v>
      </c>
      <c r="K12" s="18" t="s">
        <v>240</v>
      </c>
      <c r="L12" s="9">
        <f>L7</f>
        <v>0.80931904318608305</v>
      </c>
      <c r="M12">
        <v>2125811</v>
      </c>
      <c r="N12">
        <v>9347545</v>
      </c>
      <c r="O12" s="9">
        <f t="shared" si="11"/>
        <v>0.22741917797667729</v>
      </c>
      <c r="P12">
        <v>1137662</v>
      </c>
      <c r="Q12">
        <v>964053</v>
      </c>
      <c r="R12" s="9">
        <f>1-(Q12/P12)</f>
        <v>0.15260156355754173</v>
      </c>
      <c r="S12" s="9">
        <f t="shared" si="13"/>
        <v>0.67855210735199256</v>
      </c>
      <c r="T12" s="14"/>
      <c r="V12" s="162">
        <v>43040</v>
      </c>
      <c r="W12">
        <v>68.196014000000005</v>
      </c>
      <c r="X12">
        <v>796.830017</v>
      </c>
      <c r="Y12" s="164">
        <f t="shared" si="2"/>
        <v>-2.3210826928580567E-2</v>
      </c>
      <c r="Z12" s="164">
        <f t="shared" si="9"/>
        <v>-1.2541043248661624E-2</v>
      </c>
      <c r="AA12">
        <v>39.312218000000001</v>
      </c>
      <c r="AB12">
        <v>796.830017</v>
      </c>
      <c r="AC12" s="164">
        <f t="shared" si="3"/>
        <v>-7.1341295866679047E-2</v>
      </c>
      <c r="AD12" s="164">
        <f t="shared" si="10"/>
        <v>-1.2541043248661624E-2</v>
      </c>
      <c r="AE12">
        <v>123.660591</v>
      </c>
      <c r="AF12">
        <v>796.830017</v>
      </c>
      <c r="AG12" s="164">
        <f t="shared" si="4"/>
        <v>-8.2131846743382864E-2</v>
      </c>
      <c r="AH12" s="164">
        <f t="shared" si="5"/>
        <v>-1.2541043248661624E-2</v>
      </c>
      <c r="AI12">
        <v>286.77572600000002</v>
      </c>
      <c r="AJ12">
        <v>796.830017</v>
      </c>
      <c r="AK12" s="164">
        <f t="shared" si="6"/>
        <v>-0.13866804985620279</v>
      </c>
      <c r="AL12" s="164">
        <f t="shared" si="7"/>
        <v>-1.2541043248661624E-2</v>
      </c>
    </row>
    <row r="13" spans="1:38" x14ac:dyDescent="0.3">
      <c r="A13" s="162">
        <v>43070</v>
      </c>
      <c r="B13">
        <v>200.681793</v>
      </c>
      <c r="C13">
        <v>814.45001200000002</v>
      </c>
      <c r="D13" s="164">
        <f t="shared" si="0"/>
        <v>1.2720489366310298E-2</v>
      </c>
      <c r="E13" s="164">
        <f t="shared" si="1"/>
        <v>2.2112614515123138E-2</v>
      </c>
      <c r="F13" s="170">
        <v>1.2720489366310298E-2</v>
      </c>
      <c r="K13" s="18" t="s">
        <v>241</v>
      </c>
      <c r="L13" s="9">
        <f>L5</f>
        <v>0.97811622515971786</v>
      </c>
      <c r="M13">
        <v>2064988</v>
      </c>
      <c r="N13">
        <v>19323102</v>
      </c>
      <c r="O13" s="9">
        <f t="shared" si="11"/>
        <v>0.1068662785095271</v>
      </c>
      <c r="P13">
        <v>3531665</v>
      </c>
      <c r="Q13">
        <v>2632371</v>
      </c>
      <c r="R13" s="9">
        <f t="shared" ref="R13:R14" si="14">1-(Q13/P13)</f>
        <v>0.25463740190533357</v>
      </c>
      <c r="S13" s="9">
        <f t="shared" si="13"/>
        <v>0.90595330550800923</v>
      </c>
      <c r="T13" s="14"/>
      <c r="V13" s="162">
        <v>43070</v>
      </c>
      <c r="W13">
        <v>65.818466000000001</v>
      </c>
      <c r="X13">
        <v>814.45001200000002</v>
      </c>
      <c r="Y13" s="164">
        <f t="shared" si="2"/>
        <v>-3.4863445244761732E-2</v>
      </c>
      <c r="Z13" s="164">
        <f t="shared" si="9"/>
        <v>2.2112614515123138E-2</v>
      </c>
      <c r="AA13">
        <v>37.948883000000002</v>
      </c>
      <c r="AB13">
        <v>814.45001200000002</v>
      </c>
      <c r="AC13" s="164">
        <f t="shared" si="3"/>
        <v>-3.4679676430365729E-2</v>
      </c>
      <c r="AD13" s="164">
        <f t="shared" si="10"/>
        <v>2.2112614515123138E-2</v>
      </c>
      <c r="AE13">
        <v>117.409988</v>
      </c>
      <c r="AF13">
        <v>814.45001200000002</v>
      </c>
      <c r="AG13" s="164">
        <f t="shared" si="4"/>
        <v>-5.054644288413597E-2</v>
      </c>
      <c r="AH13" s="164">
        <f t="shared" si="5"/>
        <v>2.2112614515123138E-2</v>
      </c>
      <c r="AI13">
        <v>317.25073200000003</v>
      </c>
      <c r="AJ13">
        <v>814.45001200000002</v>
      </c>
      <c r="AK13" s="164">
        <f t="shared" si="6"/>
        <v>0.10626773201857401</v>
      </c>
      <c r="AL13" s="164">
        <f t="shared" si="7"/>
        <v>2.2112614515123138E-2</v>
      </c>
    </row>
    <row r="14" spans="1:38" x14ac:dyDescent="0.3">
      <c r="A14" s="162">
        <v>43101</v>
      </c>
      <c r="B14">
        <v>170.43318199999999</v>
      </c>
      <c r="C14">
        <v>811.01000999999997</v>
      </c>
      <c r="D14" s="164">
        <f t="shared" si="0"/>
        <v>-0.15072922434971472</v>
      </c>
      <c r="E14" s="164">
        <f t="shared" si="1"/>
        <v>-4.2237116450555712E-3</v>
      </c>
      <c r="F14" s="170">
        <v>-0.15072922434971472</v>
      </c>
      <c r="K14" s="18" t="s">
        <v>246</v>
      </c>
      <c r="L14" s="9">
        <f>L3</f>
        <v>0.77631696877166623</v>
      </c>
      <c r="M14">
        <v>4696988</v>
      </c>
      <c r="N14">
        <v>15483176</v>
      </c>
      <c r="O14" s="9">
        <f>M14/N14</f>
        <v>0.3033607575086662</v>
      </c>
      <c r="P14">
        <f>'Income Statement'!H29</f>
        <v>3386942</v>
      </c>
      <c r="Q14">
        <f>'Income Statement'!H31</f>
        <v>2668120</v>
      </c>
      <c r="R14" s="9">
        <f t="shared" si="14"/>
        <v>0.21223333614806517</v>
      </c>
      <c r="S14" s="9">
        <f t="shared" si="13"/>
        <v>0.62657875050644773</v>
      </c>
      <c r="T14" s="14"/>
      <c r="V14" s="162">
        <v>43101</v>
      </c>
      <c r="W14">
        <v>62.128985999999998</v>
      </c>
      <c r="X14">
        <v>811.01000999999997</v>
      </c>
      <c r="Y14" s="164">
        <f t="shared" si="2"/>
        <v>-5.6055393329890173E-2</v>
      </c>
      <c r="Z14" s="164">
        <f t="shared" si="9"/>
        <v>-4.2237116450555712E-3</v>
      </c>
      <c r="AA14">
        <v>33.910671000000001</v>
      </c>
      <c r="AB14">
        <v>811.01000999999997</v>
      </c>
      <c r="AC14" s="164">
        <f t="shared" si="3"/>
        <v>-0.10641188042346335</v>
      </c>
      <c r="AD14" s="164">
        <f t="shared" si="10"/>
        <v>-4.2237116450555712E-3</v>
      </c>
      <c r="AE14">
        <v>112.72204600000001</v>
      </c>
      <c r="AF14">
        <v>811.01000999999997</v>
      </c>
      <c r="AG14" s="164">
        <f t="shared" si="4"/>
        <v>-3.9927965923989298E-2</v>
      </c>
      <c r="AH14" s="164">
        <f t="shared" si="5"/>
        <v>-4.2237116450555712E-3</v>
      </c>
      <c r="AI14">
        <v>286.31948899999998</v>
      </c>
      <c r="AJ14">
        <v>811.01000999999997</v>
      </c>
      <c r="AK14" s="164">
        <f t="shared" si="6"/>
        <v>-9.7497782920797318E-2</v>
      </c>
      <c r="AL14" s="164">
        <f t="shared" si="7"/>
        <v>-4.2237116450555712E-3</v>
      </c>
    </row>
    <row r="15" spans="1:38" x14ac:dyDescent="0.3">
      <c r="A15" s="162">
        <v>43132</v>
      </c>
      <c r="B15">
        <v>229.30413799999999</v>
      </c>
      <c r="C15">
        <v>819.77002000000005</v>
      </c>
      <c r="D15" s="164">
        <f t="shared" si="0"/>
        <v>0.34541956741733548</v>
      </c>
      <c r="E15" s="164">
        <f t="shared" si="1"/>
        <v>1.0801358666337645E-2</v>
      </c>
      <c r="F15" s="170">
        <v>0.34541956741733548</v>
      </c>
      <c r="T15" s="14"/>
      <c r="V15" s="162">
        <v>43132</v>
      </c>
      <c r="W15">
        <v>63.541012000000002</v>
      </c>
      <c r="X15">
        <v>819.77002000000005</v>
      </c>
      <c r="Y15" s="164">
        <f t="shared" si="2"/>
        <v>2.2727330524918023E-2</v>
      </c>
      <c r="Z15" s="164">
        <f t="shared" si="9"/>
        <v>1.0801358666337645E-2</v>
      </c>
      <c r="AA15">
        <v>40.839492999999997</v>
      </c>
      <c r="AB15">
        <v>819.77002000000005</v>
      </c>
      <c r="AC15" s="164">
        <f t="shared" si="3"/>
        <v>0.20432571210401576</v>
      </c>
      <c r="AD15" s="164">
        <f t="shared" si="10"/>
        <v>1.0801358666337645E-2</v>
      </c>
      <c r="AE15">
        <v>129.78450000000001</v>
      </c>
      <c r="AF15">
        <v>819.77002000000005</v>
      </c>
      <c r="AG15" s="164">
        <f t="shared" si="4"/>
        <v>0.15136749735717184</v>
      </c>
      <c r="AH15" s="164">
        <f t="shared" si="5"/>
        <v>1.0801358666337645E-2</v>
      </c>
      <c r="AI15">
        <v>364.97067299999998</v>
      </c>
      <c r="AJ15">
        <v>819.77002000000005</v>
      </c>
      <c r="AK15" s="164">
        <f t="shared" si="6"/>
        <v>0.27469727706869446</v>
      </c>
      <c r="AL15" s="164">
        <f t="shared" si="7"/>
        <v>1.0801358666337645E-2</v>
      </c>
    </row>
    <row r="16" spans="1:38" x14ac:dyDescent="0.3">
      <c r="A16" s="162">
        <v>43160</v>
      </c>
      <c r="B16">
        <v>261.17907700000001</v>
      </c>
      <c r="C16">
        <v>805.32000700000003</v>
      </c>
      <c r="D16" s="164">
        <f t="shared" si="0"/>
        <v>0.13900725594406854</v>
      </c>
      <c r="E16" s="164">
        <f t="shared" si="1"/>
        <v>-1.7626910776756648E-2</v>
      </c>
      <c r="F16" s="170">
        <v>0.13900725594406854</v>
      </c>
      <c r="T16" s="14"/>
      <c r="V16" s="162">
        <v>43160</v>
      </c>
      <c r="W16">
        <v>65.772910999999993</v>
      </c>
      <c r="X16">
        <v>805.32000700000003</v>
      </c>
      <c r="Y16" s="164">
        <f t="shared" si="2"/>
        <v>3.5125329763397398E-2</v>
      </c>
      <c r="Z16" s="164">
        <f t="shared" si="9"/>
        <v>-1.7626910776756648E-2</v>
      </c>
      <c r="AA16">
        <v>41.849049000000001</v>
      </c>
      <c r="AB16">
        <v>805.32000700000003</v>
      </c>
      <c r="AC16" s="164">
        <f t="shared" si="3"/>
        <v>2.4720091407599096E-2</v>
      </c>
      <c r="AD16" s="164">
        <f t="shared" si="10"/>
        <v>-1.7626910776756648E-2</v>
      </c>
      <c r="AE16">
        <v>135.06416300000001</v>
      </c>
      <c r="AF16">
        <v>805.32000700000003</v>
      </c>
      <c r="AG16" s="164">
        <f t="shared" si="4"/>
        <v>4.0680227608073376E-2</v>
      </c>
      <c r="AH16" s="164">
        <f t="shared" si="5"/>
        <v>-1.7626910776756648E-2</v>
      </c>
      <c r="AI16">
        <v>391.43109099999998</v>
      </c>
      <c r="AJ16">
        <v>805.32000700000003</v>
      </c>
      <c r="AK16" s="164">
        <f t="shared" si="6"/>
        <v>7.2500121126170616E-2</v>
      </c>
      <c r="AL16" s="164">
        <f t="shared" si="7"/>
        <v>-1.7626910776756648E-2</v>
      </c>
    </row>
    <row r="17" spans="1:38" ht="15" thickBot="1" x14ac:dyDescent="0.35">
      <c r="A17" s="162">
        <v>43191</v>
      </c>
      <c r="B17">
        <v>304.92575099999999</v>
      </c>
      <c r="C17">
        <v>859.96002199999998</v>
      </c>
      <c r="D17" s="164">
        <f t="shared" si="0"/>
        <v>0.16749685504095715</v>
      </c>
      <c r="E17" s="164">
        <f t="shared" si="1"/>
        <v>6.7848823480179538E-2</v>
      </c>
      <c r="F17" s="170">
        <v>0.16749685504095715</v>
      </c>
      <c r="K17" s="26"/>
      <c r="T17" s="14"/>
      <c r="V17" s="162">
        <v>43191</v>
      </c>
      <c r="W17">
        <v>78.572226999999998</v>
      </c>
      <c r="X17">
        <v>859.96002199999998</v>
      </c>
      <c r="Y17" s="164">
        <f t="shared" si="2"/>
        <v>0.19459859394090076</v>
      </c>
      <c r="Z17" s="164">
        <f t="shared" si="9"/>
        <v>6.7848823480179538E-2</v>
      </c>
      <c r="AA17">
        <v>50.891891000000001</v>
      </c>
      <c r="AB17">
        <v>859.96002199999998</v>
      </c>
      <c r="AC17" s="164">
        <f t="shared" si="3"/>
        <v>0.216082377403606</v>
      </c>
      <c r="AD17" s="164">
        <f t="shared" si="10"/>
        <v>6.7848823480179538E-2</v>
      </c>
      <c r="AE17">
        <v>150.05697599999999</v>
      </c>
      <c r="AF17">
        <v>859.96002199999998</v>
      </c>
      <c r="AG17" s="164">
        <f t="shared" si="4"/>
        <v>0.11100511539837539</v>
      </c>
      <c r="AH17" s="164">
        <f t="shared" si="5"/>
        <v>6.7848823480179538E-2</v>
      </c>
      <c r="AI17">
        <v>420.62872299999998</v>
      </c>
      <c r="AJ17">
        <v>859.96002199999998</v>
      </c>
      <c r="AK17" s="164">
        <f t="shared" si="6"/>
        <v>7.4592010372523013E-2</v>
      </c>
      <c r="AL17" s="164">
        <f t="shared" si="7"/>
        <v>6.7848823480179538E-2</v>
      </c>
    </row>
    <row r="18" spans="1:38" x14ac:dyDescent="0.3">
      <c r="A18" s="162">
        <v>43221</v>
      </c>
      <c r="B18">
        <v>290.28930700000001</v>
      </c>
      <c r="C18">
        <v>875.52002000000005</v>
      </c>
      <c r="D18" s="164">
        <f t="shared" si="0"/>
        <v>-4.800002607847962E-2</v>
      </c>
      <c r="E18" s="164">
        <f t="shared" si="1"/>
        <v>1.8093862042345109E-2</v>
      </c>
      <c r="F18" s="170">
        <v>-4.800002607847962E-2</v>
      </c>
      <c r="K18" s="237" t="s">
        <v>251</v>
      </c>
      <c r="L18" s="238"/>
      <c r="M18" s="238"/>
      <c r="N18" s="238"/>
      <c r="O18" s="238"/>
      <c r="P18" s="276"/>
      <c r="T18" s="14"/>
      <c r="V18" s="162">
        <v>43221</v>
      </c>
      <c r="W18">
        <v>83.537064000000001</v>
      </c>
      <c r="X18">
        <v>875.52002000000005</v>
      </c>
      <c r="Y18" s="164">
        <f t="shared" si="2"/>
        <v>6.3188192438531784E-2</v>
      </c>
      <c r="Z18" s="164">
        <f t="shared" si="9"/>
        <v>1.8093862042345109E-2</v>
      </c>
      <c r="AA18">
        <v>46.801898999999999</v>
      </c>
      <c r="AB18">
        <v>875.52002000000005</v>
      </c>
      <c r="AC18" s="164">
        <f t="shared" si="3"/>
        <v>-8.0366280749913616E-2</v>
      </c>
      <c r="AD18" s="164">
        <f t="shared" si="10"/>
        <v>1.8093862042345109E-2</v>
      </c>
      <c r="AE18">
        <v>140.648865</v>
      </c>
      <c r="AF18">
        <v>875.52002000000005</v>
      </c>
      <c r="AG18" s="164">
        <f t="shared" si="4"/>
        <v>-6.2696925199932002E-2</v>
      </c>
      <c r="AH18" s="164">
        <f t="shared" si="5"/>
        <v>1.8093862042345109E-2</v>
      </c>
      <c r="AI18">
        <v>403.08010899999999</v>
      </c>
      <c r="AJ18">
        <v>875.52002000000005</v>
      </c>
      <c r="AK18" s="164">
        <f t="shared" si="6"/>
        <v>-4.1719961192474217E-2</v>
      </c>
      <c r="AL18" s="164">
        <f t="shared" si="7"/>
        <v>1.8093862042345109E-2</v>
      </c>
    </row>
    <row r="19" spans="1:38" x14ac:dyDescent="0.3">
      <c r="A19" s="162">
        <v>43252</v>
      </c>
      <c r="B19">
        <v>277.92962599999998</v>
      </c>
      <c r="C19">
        <v>879.14001499999995</v>
      </c>
      <c r="D19" s="164">
        <f t="shared" si="0"/>
        <v>-4.2577114285508366E-2</v>
      </c>
      <c r="E19" s="164">
        <f t="shared" si="1"/>
        <v>4.1346798671718591E-3</v>
      </c>
      <c r="F19" s="170">
        <v>-4.2577114285508366E-2</v>
      </c>
      <c r="K19" s="239"/>
      <c r="L19" s="290" t="s">
        <v>229</v>
      </c>
      <c r="M19" s="290" t="s">
        <v>238</v>
      </c>
      <c r="N19" s="290" t="s">
        <v>239</v>
      </c>
      <c r="O19" s="290" t="s">
        <v>240</v>
      </c>
      <c r="P19" s="294" t="s">
        <v>241</v>
      </c>
      <c r="T19" s="14"/>
      <c r="V19" s="162">
        <v>43252</v>
      </c>
      <c r="W19">
        <v>78.253380000000007</v>
      </c>
      <c r="X19">
        <v>879.14001499999995</v>
      </c>
      <c r="Y19" s="164">
        <f t="shared" si="2"/>
        <v>-6.3249577457019479E-2</v>
      </c>
      <c r="Z19" s="164">
        <f t="shared" si="9"/>
        <v>4.1346798671718591E-3</v>
      </c>
      <c r="AA19">
        <v>48.673439000000002</v>
      </c>
      <c r="AB19">
        <v>879.14001499999995</v>
      </c>
      <c r="AC19" s="164">
        <f t="shared" si="3"/>
        <v>3.998854832792155E-2</v>
      </c>
      <c r="AD19" s="164">
        <f t="shared" si="10"/>
        <v>4.1346798671718591E-3</v>
      </c>
      <c r="AE19">
        <v>141.518753</v>
      </c>
      <c r="AF19">
        <v>879.14001499999995</v>
      </c>
      <c r="AG19" s="164">
        <f t="shared" si="4"/>
        <v>6.1848206169314137E-3</v>
      </c>
      <c r="AH19" s="164">
        <f t="shared" si="5"/>
        <v>4.1346798671718591E-3</v>
      </c>
      <c r="AI19">
        <v>425.274902</v>
      </c>
      <c r="AJ19">
        <v>879.14001499999995</v>
      </c>
      <c r="AK19" s="164">
        <f t="shared" si="6"/>
        <v>5.506298252985737E-2</v>
      </c>
      <c r="AL19" s="164">
        <f t="shared" si="7"/>
        <v>4.1346798671718591E-3</v>
      </c>
    </row>
    <row r="20" spans="1:38" x14ac:dyDescent="0.3">
      <c r="A20" s="162">
        <v>43282</v>
      </c>
      <c r="B20">
        <v>358.09088100000002</v>
      </c>
      <c r="C20">
        <v>896.40002400000003</v>
      </c>
      <c r="D20" s="164">
        <f t="shared" si="0"/>
        <v>0.28842285061039175</v>
      </c>
      <c r="E20" s="164">
        <f t="shared" si="1"/>
        <v>1.9632832888399562E-2</v>
      </c>
      <c r="F20" s="170">
        <v>0.28842285061039175</v>
      </c>
      <c r="K20" s="239" t="s">
        <v>259</v>
      </c>
      <c r="L20" s="291">
        <f>P3</f>
        <v>1.3746942744419172E-3</v>
      </c>
      <c r="M20" s="291">
        <f>P4</f>
        <v>1.839271603827494E-3</v>
      </c>
      <c r="N20" s="291">
        <f>P6</f>
        <v>1.8399804414233982E-3</v>
      </c>
      <c r="O20" s="291">
        <f>P7</f>
        <v>1.4331340156393669E-3</v>
      </c>
      <c r="P20" s="295">
        <f>P5</f>
        <v>1.7320383664849249E-3</v>
      </c>
      <c r="T20" s="14"/>
      <c r="V20" s="162">
        <v>43282</v>
      </c>
      <c r="W20">
        <v>90.182755</v>
      </c>
      <c r="X20">
        <v>896.40002400000003</v>
      </c>
      <c r="Y20" s="164">
        <f t="shared" si="2"/>
        <v>0.15244549181134404</v>
      </c>
      <c r="Z20" s="164">
        <f t="shared" si="9"/>
        <v>1.9632832888399562E-2</v>
      </c>
      <c r="AA20">
        <v>56.903931</v>
      </c>
      <c r="AB20">
        <v>896.40002400000003</v>
      </c>
      <c r="AC20" s="164">
        <f t="shared" si="3"/>
        <v>0.16909616762439977</v>
      </c>
      <c r="AD20" s="164">
        <f t="shared" si="10"/>
        <v>1.9632832888399562E-2</v>
      </c>
      <c r="AE20">
        <v>155.60961900000001</v>
      </c>
      <c r="AF20">
        <v>896.40002400000003</v>
      </c>
      <c r="AG20" s="164">
        <f t="shared" si="4"/>
        <v>9.9568896003485882E-2</v>
      </c>
      <c r="AH20" s="164">
        <f t="shared" si="5"/>
        <v>1.9632832888399562E-2</v>
      </c>
      <c r="AI20">
        <v>471.63946499999997</v>
      </c>
      <c r="AJ20">
        <v>896.40002400000003</v>
      </c>
      <c r="AK20" s="164">
        <f t="shared" si="6"/>
        <v>0.10902257053485835</v>
      </c>
      <c r="AL20" s="164">
        <f t="shared" si="7"/>
        <v>1.9632832888399562E-2</v>
      </c>
    </row>
    <row r="21" spans="1:38" x14ac:dyDescent="0.3">
      <c r="A21" s="162">
        <v>43313</v>
      </c>
      <c r="B21">
        <v>347.76632699999999</v>
      </c>
      <c r="C21">
        <v>906.69000200000005</v>
      </c>
      <c r="D21" s="164">
        <f t="shared" si="0"/>
        <v>-2.8832217037104705E-2</v>
      </c>
      <c r="E21" s="164">
        <f t="shared" si="1"/>
        <v>1.147922548471509E-2</v>
      </c>
      <c r="F21" s="170">
        <v>-2.8832217037104705E-2</v>
      </c>
      <c r="K21" s="239" t="s">
        <v>260</v>
      </c>
      <c r="L21" s="291">
        <f>O3</f>
        <v>1.770789934705457E-3</v>
      </c>
      <c r="M21" s="291">
        <f>L21</f>
        <v>1.770789934705457E-3</v>
      </c>
      <c r="N21" s="291">
        <f t="shared" ref="N21:P21" si="15">M21</f>
        <v>1.770789934705457E-3</v>
      </c>
      <c r="O21" s="291">
        <f t="shared" si="15"/>
        <v>1.770789934705457E-3</v>
      </c>
      <c r="P21" s="295">
        <f t="shared" si="15"/>
        <v>1.770789934705457E-3</v>
      </c>
      <c r="T21" s="14"/>
      <c r="V21" s="162">
        <v>43313</v>
      </c>
      <c r="W21">
        <v>89.810294999999996</v>
      </c>
      <c r="X21">
        <v>906.69000200000005</v>
      </c>
      <c r="Y21" s="164">
        <f t="shared" si="2"/>
        <v>-4.1300579029771691E-3</v>
      </c>
      <c r="Z21" s="164">
        <f t="shared" si="9"/>
        <v>1.147922548471509E-2</v>
      </c>
      <c r="AA21">
        <v>56.655597999999998</v>
      </c>
      <c r="AB21">
        <v>906.69000200000005</v>
      </c>
      <c r="AC21" s="164">
        <f t="shared" si="3"/>
        <v>-4.3640746014542015E-3</v>
      </c>
      <c r="AD21" s="164">
        <f t="shared" si="10"/>
        <v>1.147922548471509E-2</v>
      </c>
      <c r="AE21">
        <v>158.05256700000001</v>
      </c>
      <c r="AF21">
        <v>906.69000200000005</v>
      </c>
      <c r="AG21" s="164">
        <f t="shared" si="4"/>
        <v>1.5699209442830146E-2</v>
      </c>
      <c r="AH21" s="164">
        <f t="shared" si="5"/>
        <v>1.147922548471509E-2</v>
      </c>
      <c r="AI21">
        <v>450.29107699999997</v>
      </c>
      <c r="AJ21">
        <v>906.69000200000005</v>
      </c>
      <c r="AK21" s="164">
        <f t="shared" si="6"/>
        <v>-4.5264210449394861E-2</v>
      </c>
      <c r="AL21" s="164">
        <f t="shared" si="7"/>
        <v>1.147922548471509E-2</v>
      </c>
    </row>
    <row r="22" spans="1:38" x14ac:dyDescent="0.3">
      <c r="A22" s="162">
        <v>43344</v>
      </c>
      <c r="B22">
        <v>349.48706099999998</v>
      </c>
      <c r="C22">
        <v>938.26000999999997</v>
      </c>
      <c r="D22" s="164">
        <f t="shared" si="0"/>
        <v>4.9479603584506706E-3</v>
      </c>
      <c r="E22" s="164">
        <f t="shared" si="1"/>
        <v>3.4818965611578358E-2</v>
      </c>
      <c r="F22" s="170">
        <v>4.9479603584506706E-3</v>
      </c>
      <c r="K22" s="296" t="s">
        <v>247</v>
      </c>
      <c r="L22" s="292">
        <f>L14</f>
        <v>0.77631696877166623</v>
      </c>
      <c r="M22" s="292">
        <f>L4</f>
        <v>1.0386729491623341</v>
      </c>
      <c r="N22" s="292">
        <f>L6</f>
        <v>1.0390732437325774</v>
      </c>
      <c r="O22" s="292">
        <f>L7</f>
        <v>0.80931904318608305</v>
      </c>
      <c r="P22" s="297">
        <f>L5</f>
        <v>0.97811622515971786</v>
      </c>
      <c r="T22" s="14"/>
      <c r="V22" s="162">
        <v>43344</v>
      </c>
      <c r="W22">
        <v>100.099602</v>
      </c>
      <c r="X22">
        <v>938.26000999999997</v>
      </c>
      <c r="Y22" s="164">
        <f t="shared" si="2"/>
        <v>0.11456712173142297</v>
      </c>
      <c r="Z22" s="164">
        <f t="shared" si="9"/>
        <v>3.4818965611578358E-2</v>
      </c>
      <c r="AA22">
        <v>58.908337000000003</v>
      </c>
      <c r="AB22">
        <v>938.26000999999997</v>
      </c>
      <c r="AC22" s="164">
        <f t="shared" si="3"/>
        <v>3.9761984332069102E-2</v>
      </c>
      <c r="AD22" s="164">
        <f t="shared" si="10"/>
        <v>3.4818965611578358E-2</v>
      </c>
      <c r="AE22">
        <v>166.91467299999999</v>
      </c>
      <c r="AF22">
        <v>938.26000999999997</v>
      </c>
      <c r="AG22" s="164">
        <f t="shared" si="4"/>
        <v>5.6070623642575715E-2</v>
      </c>
      <c r="AH22" s="164">
        <f t="shared" si="5"/>
        <v>3.4818965611578358E-2</v>
      </c>
      <c r="AI22">
        <v>466.84307899999999</v>
      </c>
      <c r="AJ22">
        <v>938.26000999999997</v>
      </c>
      <c r="AK22" s="164">
        <f t="shared" si="6"/>
        <v>3.6758449912610673E-2</v>
      </c>
      <c r="AL22" s="164">
        <f t="shared" si="7"/>
        <v>3.4818965611578358E-2</v>
      </c>
    </row>
    <row r="23" spans="1:38" x14ac:dyDescent="0.3">
      <c r="A23" s="162">
        <v>43374</v>
      </c>
      <c r="B23">
        <v>382.86987299999998</v>
      </c>
      <c r="C23">
        <v>889.65997300000004</v>
      </c>
      <c r="D23" s="164">
        <f t="shared" si="0"/>
        <v>9.5519450432529754E-2</v>
      </c>
      <c r="E23" s="164">
        <f t="shared" si="1"/>
        <v>-5.1798047963271858E-2</v>
      </c>
      <c r="F23" s="170">
        <v>9.5519450432529754E-2</v>
      </c>
      <c r="K23" s="239" t="s">
        <v>288</v>
      </c>
      <c r="L23" s="16">
        <f>M14</f>
        <v>4696988</v>
      </c>
      <c r="M23" s="16">
        <f>M10</f>
        <v>1532543</v>
      </c>
      <c r="N23" s="16">
        <f>M11</f>
        <v>1264100</v>
      </c>
      <c r="O23" s="16">
        <f>M12</f>
        <v>2125811</v>
      </c>
      <c r="P23" s="246">
        <f>M13</f>
        <v>2064988</v>
      </c>
      <c r="T23" s="14"/>
      <c r="V23" s="162">
        <v>43374</v>
      </c>
      <c r="W23">
        <v>114.43944500000001</v>
      </c>
      <c r="X23">
        <v>889.65997300000004</v>
      </c>
      <c r="Y23" s="164">
        <f t="shared" si="2"/>
        <v>0.14325574441344932</v>
      </c>
      <c r="Z23" s="164">
        <f t="shared" si="9"/>
        <v>-5.1798047963271858E-2</v>
      </c>
      <c r="AA23">
        <v>68.894904999999994</v>
      </c>
      <c r="AB23">
        <v>889.65997300000004</v>
      </c>
      <c r="AC23" s="164">
        <f t="shared" si="3"/>
        <v>0.16952724365653016</v>
      </c>
      <c r="AD23" s="164">
        <f t="shared" si="10"/>
        <v>-5.1798047963271858E-2</v>
      </c>
      <c r="AE23">
        <v>180.59182699999999</v>
      </c>
      <c r="AF23">
        <v>889.65997300000004</v>
      </c>
      <c r="AG23" s="164">
        <f t="shared" si="4"/>
        <v>8.1940992689120876E-2</v>
      </c>
      <c r="AH23" s="164">
        <f t="shared" si="5"/>
        <v>-5.1798047963271858E-2</v>
      </c>
      <c r="AI23">
        <v>445.21261600000003</v>
      </c>
      <c r="AJ23">
        <v>889.65997300000004</v>
      </c>
      <c r="AK23" s="164">
        <f t="shared" si="6"/>
        <v>-4.6333476864074845E-2</v>
      </c>
      <c r="AL23" s="164">
        <f t="shared" si="7"/>
        <v>-5.1798047963271858E-2</v>
      </c>
    </row>
    <row r="24" spans="1:38" x14ac:dyDescent="0.3">
      <c r="A24" s="162">
        <v>43405</v>
      </c>
      <c r="B24">
        <v>416.94097900000003</v>
      </c>
      <c r="C24">
        <v>860.97997999999995</v>
      </c>
      <c r="D24" s="164">
        <f t="shared" si="0"/>
        <v>8.8988735867447169E-2</v>
      </c>
      <c r="E24" s="164">
        <f t="shared" si="1"/>
        <v>-3.2237027482858421E-2</v>
      </c>
      <c r="F24" s="170">
        <v>8.8988735867447169E-2</v>
      </c>
      <c r="K24" s="239" t="s">
        <v>289</v>
      </c>
      <c r="L24" s="16">
        <f>N14</f>
        <v>15483176</v>
      </c>
      <c r="M24" s="16">
        <f>N10</f>
        <v>5563302</v>
      </c>
      <c r="N24" s="16">
        <f>N11</f>
        <v>3131400</v>
      </c>
      <c r="O24" s="16">
        <f>N12</f>
        <v>9347545</v>
      </c>
      <c r="P24" s="246">
        <f>N13</f>
        <v>19323102</v>
      </c>
      <c r="T24" s="14"/>
      <c r="V24" s="162">
        <v>43405</v>
      </c>
      <c r="W24">
        <v>105.220978</v>
      </c>
      <c r="X24">
        <v>860.97997999999995</v>
      </c>
      <c r="Y24" s="164">
        <f t="shared" si="2"/>
        <v>-8.0553230575349286E-2</v>
      </c>
      <c r="Z24" s="164">
        <f t="shared" si="9"/>
        <v>-3.2237027482858421E-2</v>
      </c>
      <c r="AA24">
        <v>64.850616000000002</v>
      </c>
      <c r="AB24">
        <v>860.97997999999995</v>
      </c>
      <c r="AC24" s="164">
        <f t="shared" si="3"/>
        <v>-5.8702294458494314E-2</v>
      </c>
      <c r="AD24" s="164">
        <f t="shared" si="10"/>
        <v>-3.2237027482858421E-2</v>
      </c>
      <c r="AE24">
        <v>178.02462800000001</v>
      </c>
      <c r="AF24">
        <v>860.97997999999995</v>
      </c>
      <c r="AG24" s="164">
        <f t="shared" si="4"/>
        <v>-1.4215477204292242E-2</v>
      </c>
      <c r="AH24" s="164">
        <f t="shared" si="5"/>
        <v>-3.2237027482858421E-2</v>
      </c>
      <c r="AI24">
        <v>414.36556999999999</v>
      </c>
      <c r="AJ24">
        <v>860.97997999999995</v>
      </c>
      <c r="AK24" s="164">
        <f t="shared" si="6"/>
        <v>-6.928610037411885E-2</v>
      </c>
      <c r="AL24" s="164">
        <f t="shared" si="7"/>
        <v>-3.2237027482858421E-2</v>
      </c>
    </row>
    <row r="25" spans="1:38" x14ac:dyDescent="0.3">
      <c r="A25" s="162">
        <v>43435</v>
      </c>
      <c r="B25">
        <v>368.24340799999999</v>
      </c>
      <c r="C25">
        <v>799.46002199999998</v>
      </c>
      <c r="D25" s="164">
        <f t="shared" si="0"/>
        <v>-0.11679727695943276</v>
      </c>
      <c r="E25" s="164">
        <f t="shared" si="1"/>
        <v>-7.145341288888038E-2</v>
      </c>
      <c r="F25" s="170">
        <v>-0.11679727695943276</v>
      </c>
      <c r="K25" s="239" t="s">
        <v>261</v>
      </c>
      <c r="L25" s="12">
        <f>L23/L24</f>
        <v>0.3033607575086662</v>
      </c>
      <c r="M25" s="12">
        <f t="shared" ref="M25:P25" si="16">M23/M24</f>
        <v>0.2754736305884527</v>
      </c>
      <c r="N25" s="12">
        <f t="shared" si="16"/>
        <v>0.40368525260266974</v>
      </c>
      <c r="O25" s="12">
        <f t="shared" si="16"/>
        <v>0.22741917797667729</v>
      </c>
      <c r="P25" s="298">
        <f t="shared" si="16"/>
        <v>0.1068662785095271</v>
      </c>
      <c r="T25" s="14"/>
      <c r="V25" s="162">
        <v>43435</v>
      </c>
      <c r="W25">
        <v>96.964698999999996</v>
      </c>
      <c r="X25">
        <v>799.46002199999998</v>
      </c>
      <c r="Y25" s="164">
        <f t="shared" si="2"/>
        <v>-7.8466092569487486E-2</v>
      </c>
      <c r="Z25" s="164">
        <f t="shared" si="9"/>
        <v>-7.145341288888038E-2</v>
      </c>
      <c r="AA25">
        <v>58.482624000000001</v>
      </c>
      <c r="AB25">
        <v>799.46002199999998</v>
      </c>
      <c r="AC25" s="164">
        <f t="shared" si="3"/>
        <v>-9.8194780447420901E-2</v>
      </c>
      <c r="AD25" s="164">
        <f t="shared" si="10"/>
        <v>-7.145341288888038E-2</v>
      </c>
      <c r="AE25">
        <v>163.86726400000001</v>
      </c>
      <c r="AF25">
        <v>799.46002199999998</v>
      </c>
      <c r="AG25" s="164">
        <f t="shared" si="4"/>
        <v>-7.9524749800347849E-2</v>
      </c>
      <c r="AH25" s="164">
        <f t="shared" si="5"/>
        <v>-7.145341288888038E-2</v>
      </c>
      <c r="AI25">
        <v>398.00158699999997</v>
      </c>
      <c r="AJ25">
        <v>799.46002199999998</v>
      </c>
      <c r="AK25" s="164">
        <f t="shared" si="6"/>
        <v>-3.9491657089173744E-2</v>
      </c>
      <c r="AL25" s="164">
        <f t="shared" si="7"/>
        <v>-7.145341288888038E-2</v>
      </c>
    </row>
    <row r="26" spans="1:38" x14ac:dyDescent="0.3">
      <c r="A26" s="162">
        <v>43466</v>
      </c>
      <c r="B26">
        <v>379.42834499999998</v>
      </c>
      <c r="C26">
        <v>835.30999799999995</v>
      </c>
      <c r="D26" s="164">
        <f t="shared" si="0"/>
        <v>3.0373760281949137E-2</v>
      </c>
      <c r="E26" s="164">
        <f t="shared" si="1"/>
        <v>4.4842737614714613E-2</v>
      </c>
      <c r="F26" s="170">
        <v>3.0373760281949137E-2</v>
      </c>
      <c r="K26" s="239" t="s">
        <v>180</v>
      </c>
      <c r="L26" s="12">
        <f>R14</f>
        <v>0.21223333614806517</v>
      </c>
      <c r="M26" s="12">
        <f>R10</f>
        <v>0.2920316559639583</v>
      </c>
      <c r="N26" s="12">
        <f>R11</f>
        <v>0.17829457364341084</v>
      </c>
      <c r="O26" s="12">
        <f>R12</f>
        <v>0.15260156355754173</v>
      </c>
      <c r="P26" s="298">
        <f>R13</f>
        <v>0.25463740190533357</v>
      </c>
      <c r="T26" s="14"/>
      <c r="V26" s="162">
        <v>43466</v>
      </c>
      <c r="W26">
        <v>102.936134</v>
      </c>
      <c r="X26">
        <v>835.30999799999995</v>
      </c>
      <c r="Y26" s="164">
        <f t="shared" si="2"/>
        <v>6.1583597552342217E-2</v>
      </c>
      <c r="Z26" s="164">
        <f t="shared" si="9"/>
        <v>4.4842737614714613E-2</v>
      </c>
      <c r="AA26">
        <v>59.546913000000004</v>
      </c>
      <c r="AB26">
        <v>835.30999799999995</v>
      </c>
      <c r="AC26" s="164">
        <f t="shared" si="3"/>
        <v>1.8198379744383601E-2</v>
      </c>
      <c r="AD26" s="164">
        <f t="shared" si="10"/>
        <v>4.4842737614714613E-2</v>
      </c>
      <c r="AE26">
        <v>166.46835300000001</v>
      </c>
      <c r="AF26">
        <v>835.30999799999995</v>
      </c>
      <c r="AG26" s="164">
        <f t="shared" si="4"/>
        <v>1.5873145962820259E-2</v>
      </c>
      <c r="AH26" s="164">
        <f t="shared" si="5"/>
        <v>4.4842737614714613E-2</v>
      </c>
      <c r="AI26">
        <v>411.92041</v>
      </c>
      <c r="AJ26">
        <v>835.30999799999995</v>
      </c>
      <c r="AK26" s="164">
        <f t="shared" si="6"/>
        <v>3.4971777637660607E-2</v>
      </c>
      <c r="AL26" s="164">
        <f t="shared" si="7"/>
        <v>4.4842737614714613E-2</v>
      </c>
    </row>
    <row r="27" spans="1:38" x14ac:dyDescent="0.3">
      <c r="A27" s="162">
        <v>43497</v>
      </c>
      <c r="B27">
        <v>352.92861900000003</v>
      </c>
      <c r="C27">
        <v>865.28002900000001</v>
      </c>
      <c r="D27" s="164">
        <f t="shared" si="0"/>
        <v>-6.9841187009894987E-2</v>
      </c>
      <c r="E27" s="164">
        <f t="shared" si="1"/>
        <v>3.5878932458318386E-2</v>
      </c>
      <c r="F27" s="170">
        <v>-6.9841187009894987E-2</v>
      </c>
      <c r="K27" s="296" t="s">
        <v>248</v>
      </c>
      <c r="L27" s="293">
        <f>S14</f>
        <v>0.62657875050644773</v>
      </c>
      <c r="M27" s="293">
        <f>S10</f>
        <v>0.86916302984970495</v>
      </c>
      <c r="N27" s="293">
        <f>S11</f>
        <v>0.78025468068071036</v>
      </c>
      <c r="O27" s="293">
        <f>S12</f>
        <v>0.67855210735199256</v>
      </c>
      <c r="P27" s="299">
        <f>S13</f>
        <v>0.90595330550800923</v>
      </c>
      <c r="T27" s="14"/>
      <c r="V27" s="162">
        <v>43497</v>
      </c>
      <c r="W27">
        <v>105.87445099999999</v>
      </c>
      <c r="X27">
        <v>865.28002900000001</v>
      </c>
      <c r="Y27" s="164">
        <f t="shared" si="2"/>
        <v>2.8545049107828336E-2</v>
      </c>
      <c r="Z27" s="164">
        <f t="shared" si="9"/>
        <v>3.5878932458318386E-2</v>
      </c>
      <c r="AA27">
        <v>57.205478999999997</v>
      </c>
      <c r="AB27">
        <v>865.28002900000001</v>
      </c>
      <c r="AC27" s="164">
        <f t="shared" si="3"/>
        <v>-3.9320829276238159E-2</v>
      </c>
      <c r="AD27" s="164">
        <f t="shared" si="10"/>
        <v>3.5878932458318386E-2</v>
      </c>
      <c r="AE27">
        <v>177.05200199999999</v>
      </c>
      <c r="AF27">
        <v>865.28002900000001</v>
      </c>
      <c r="AG27" s="164">
        <f t="shared" si="4"/>
        <v>6.3577543774941889E-2</v>
      </c>
      <c r="AH27" s="164">
        <f t="shared" si="5"/>
        <v>3.5878932458318386E-2</v>
      </c>
      <c r="AI27">
        <v>412.29656999999997</v>
      </c>
      <c r="AJ27">
        <v>865.28002900000001</v>
      </c>
      <c r="AK27" s="164">
        <f t="shared" si="6"/>
        <v>9.1318611767736955E-4</v>
      </c>
      <c r="AL27" s="164">
        <f t="shared" si="7"/>
        <v>3.5878932458318386E-2</v>
      </c>
    </row>
    <row r="28" spans="1:38" x14ac:dyDescent="0.3">
      <c r="A28" s="162">
        <v>43525</v>
      </c>
      <c r="B28">
        <v>356.02593999999999</v>
      </c>
      <c r="C28">
        <v>863.10998500000005</v>
      </c>
      <c r="D28" s="164">
        <f t="shared" si="0"/>
        <v>8.7760550809849892E-3</v>
      </c>
      <c r="E28" s="164">
        <f t="shared" si="1"/>
        <v>-2.5079094943493275E-3</v>
      </c>
      <c r="F28" s="170">
        <v>8.7760550809849892E-3</v>
      </c>
      <c r="K28" s="239" t="s">
        <v>249</v>
      </c>
      <c r="L28" s="9">
        <f>AVERAGE(L27:P27)</f>
        <v>0.77210037477937299</v>
      </c>
      <c r="P28" s="187"/>
      <c r="T28" s="14"/>
      <c r="V28" s="162">
        <v>43525</v>
      </c>
      <c r="W28">
        <v>99.144745</v>
      </c>
      <c r="X28">
        <v>863.10998500000005</v>
      </c>
      <c r="Y28" s="164">
        <f t="shared" si="2"/>
        <v>-6.3563078121651781E-2</v>
      </c>
      <c r="Z28" s="164">
        <f t="shared" si="9"/>
        <v>-2.5079094943493275E-3</v>
      </c>
      <c r="AA28">
        <v>55.484881999999999</v>
      </c>
      <c r="AB28">
        <v>863.10998500000005</v>
      </c>
      <c r="AC28" s="164">
        <f t="shared" si="3"/>
        <v>-3.0077486109328758E-2</v>
      </c>
      <c r="AD28" s="164">
        <f t="shared" si="10"/>
        <v>-2.5079094943493275E-3</v>
      </c>
      <c r="AE28">
        <v>174.94627399999999</v>
      </c>
      <c r="AF28">
        <v>863.10998500000005</v>
      </c>
      <c r="AG28" s="164">
        <f t="shared" si="4"/>
        <v>-1.1893274157950495E-2</v>
      </c>
      <c r="AH28" s="164">
        <f t="shared" si="5"/>
        <v>-2.5079094943493275E-3</v>
      </c>
      <c r="AI28">
        <v>401.38726800000001</v>
      </c>
      <c r="AJ28">
        <v>863.10998500000005</v>
      </c>
      <c r="AK28" s="164">
        <f t="shared" si="6"/>
        <v>-2.6459841759052152E-2</v>
      </c>
      <c r="AL28" s="164">
        <f t="shared" si="7"/>
        <v>-2.5079094943493275E-3</v>
      </c>
    </row>
    <row r="29" spans="1:38" ht="15" thickBot="1" x14ac:dyDescent="0.35">
      <c r="A29" s="162">
        <v>43556</v>
      </c>
      <c r="B29">
        <v>337.26965300000001</v>
      </c>
      <c r="C29">
        <v>880.90997300000004</v>
      </c>
      <c r="D29" s="164">
        <f t="shared" si="0"/>
        <v>-5.2682360729108632E-2</v>
      </c>
      <c r="E29" s="164">
        <f t="shared" si="1"/>
        <v>2.0623082005012356E-2</v>
      </c>
      <c r="F29" s="170">
        <v>-5.2682360729108632E-2</v>
      </c>
      <c r="K29" s="300" t="s">
        <v>250</v>
      </c>
      <c r="L29" s="301">
        <f>L28*(1+L26*L25)</f>
        <v>0.82181071829600072</v>
      </c>
      <c r="M29" s="171"/>
      <c r="N29" s="171"/>
      <c r="O29" s="171"/>
      <c r="P29" s="302" t="s">
        <v>442</v>
      </c>
      <c r="T29" s="14"/>
      <c r="V29" s="162">
        <v>43556</v>
      </c>
      <c r="W29">
        <v>94.358124000000004</v>
      </c>
      <c r="X29">
        <v>880.90997300000004</v>
      </c>
      <c r="Y29" s="164">
        <f t="shared" si="2"/>
        <v>-4.8279119584199816E-2</v>
      </c>
      <c r="Z29" s="164">
        <f t="shared" si="9"/>
        <v>2.0623082005012356E-2</v>
      </c>
      <c r="AA29">
        <v>55.289760999999999</v>
      </c>
      <c r="AB29">
        <v>880.90997300000004</v>
      </c>
      <c r="AC29" s="164">
        <f t="shared" si="3"/>
        <v>-3.5166516169215303E-3</v>
      </c>
      <c r="AD29" s="164">
        <f t="shared" si="10"/>
        <v>2.0623082005012356E-2</v>
      </c>
      <c r="AE29">
        <v>169.85691800000001</v>
      </c>
      <c r="AF29">
        <v>880.90997300000004</v>
      </c>
      <c r="AG29" s="164">
        <f t="shared" si="4"/>
        <v>-2.909096537831941E-2</v>
      </c>
      <c r="AH29" s="164">
        <f t="shared" si="5"/>
        <v>2.0623082005012356E-2</v>
      </c>
      <c r="AI29">
        <v>416.622681</v>
      </c>
      <c r="AJ29">
        <v>880.90997300000004</v>
      </c>
      <c r="AK29" s="164">
        <f t="shared" si="6"/>
        <v>3.795689154744189E-2</v>
      </c>
      <c r="AL29" s="164">
        <f t="shared" si="7"/>
        <v>2.0623082005012356E-2</v>
      </c>
    </row>
    <row r="30" spans="1:38" x14ac:dyDescent="0.3">
      <c r="A30" s="162">
        <v>43586</v>
      </c>
      <c r="B30">
        <v>344.15267899999998</v>
      </c>
      <c r="C30">
        <v>852.09002699999996</v>
      </c>
      <c r="D30" s="164">
        <f t="shared" si="0"/>
        <v>2.0408079822111871E-2</v>
      </c>
      <c r="E30" s="164">
        <f t="shared" si="1"/>
        <v>-3.271610821007253E-2</v>
      </c>
      <c r="F30" s="170">
        <v>2.0408079822111871E-2</v>
      </c>
      <c r="T30" s="14"/>
      <c r="V30" s="162">
        <v>43586</v>
      </c>
      <c r="W30">
        <v>117.722534</v>
      </c>
      <c r="X30">
        <v>852.09002699999996</v>
      </c>
      <c r="Y30" s="164">
        <f t="shared" si="2"/>
        <v>0.24761418529261975</v>
      </c>
      <c r="Z30" s="164">
        <f t="shared" si="9"/>
        <v>-3.271610821007253E-2</v>
      </c>
      <c r="AA30">
        <v>53.214401000000002</v>
      </c>
      <c r="AB30">
        <v>852.09002699999996</v>
      </c>
      <c r="AC30" s="164">
        <f t="shared" si="3"/>
        <v>-3.7536063865423408E-2</v>
      </c>
      <c r="AD30" s="164">
        <f t="shared" si="10"/>
        <v>-3.271610821007253E-2</v>
      </c>
      <c r="AE30">
        <v>184.4888</v>
      </c>
      <c r="AF30">
        <v>852.09002699999996</v>
      </c>
      <c r="AG30" s="164">
        <f t="shared" si="4"/>
        <v>8.6142396625847106E-2</v>
      </c>
      <c r="AH30" s="164">
        <f t="shared" si="5"/>
        <v>-3.271610821007253E-2</v>
      </c>
      <c r="AI30">
        <v>447.48675500000002</v>
      </c>
      <c r="AJ30">
        <v>852.09002699999996</v>
      </c>
      <c r="AK30" s="164">
        <f t="shared" si="6"/>
        <v>7.4081598068349089E-2</v>
      </c>
      <c r="AL30" s="164">
        <f t="shared" si="7"/>
        <v>-3.271610821007253E-2</v>
      </c>
    </row>
    <row r="31" spans="1:38" x14ac:dyDescent="0.3">
      <c r="A31" s="162">
        <v>43617</v>
      </c>
      <c r="B31">
        <v>319.11556999999999</v>
      </c>
      <c r="C31">
        <v>864.63000499999998</v>
      </c>
      <c r="D31" s="164">
        <f t="shared" si="0"/>
        <v>-7.2750004657089973E-2</v>
      </c>
      <c r="E31" s="164">
        <f t="shared" si="1"/>
        <v>1.4716728987135557E-2</v>
      </c>
      <c r="F31" s="170">
        <v>-7.2750004657089973E-2</v>
      </c>
      <c r="K31" s="18"/>
      <c r="T31" s="14"/>
      <c r="V31" s="162">
        <v>43617</v>
      </c>
      <c r="W31">
        <v>112.130241</v>
      </c>
      <c r="X31">
        <v>864.63000499999998</v>
      </c>
      <c r="Y31" s="164">
        <f t="shared" si="2"/>
        <v>-4.7504014821835201E-2</v>
      </c>
      <c r="Z31" s="164">
        <f t="shared" si="9"/>
        <v>1.4716728987135557E-2</v>
      </c>
      <c r="AA31">
        <v>51.725020999999998</v>
      </c>
      <c r="AB31">
        <v>864.63000499999998</v>
      </c>
      <c r="AC31" s="164">
        <f t="shared" si="3"/>
        <v>-2.7988288358258586E-2</v>
      </c>
      <c r="AD31" s="164">
        <f t="shared" si="10"/>
        <v>1.4716728987135557E-2</v>
      </c>
      <c r="AE31">
        <v>183.64392100000001</v>
      </c>
      <c r="AF31">
        <v>864.63000499999998</v>
      </c>
      <c r="AG31" s="164">
        <f t="shared" si="4"/>
        <v>-4.5795679737739726E-3</v>
      </c>
      <c r="AH31" s="164">
        <f t="shared" si="5"/>
        <v>1.4716728987135557E-2</v>
      </c>
      <c r="AI31">
        <v>459.059662</v>
      </c>
      <c r="AJ31">
        <v>864.63000499999998</v>
      </c>
      <c r="AK31" s="164">
        <f t="shared" si="6"/>
        <v>2.586201015044565E-2</v>
      </c>
      <c r="AL31" s="164">
        <f t="shared" si="7"/>
        <v>1.4716728987135557E-2</v>
      </c>
    </row>
    <row r="32" spans="1:38" x14ac:dyDescent="0.3">
      <c r="A32" s="162">
        <v>43647</v>
      </c>
      <c r="B32">
        <v>374.32876599999997</v>
      </c>
      <c r="C32">
        <v>859.14001499999995</v>
      </c>
      <c r="D32" s="164">
        <f t="shared" si="0"/>
        <v>0.17301943618733484</v>
      </c>
      <c r="E32" s="164">
        <f t="shared" si="1"/>
        <v>-6.3495251937272686E-3</v>
      </c>
      <c r="F32" s="170">
        <v>0.17301943618733484</v>
      </c>
      <c r="K32" s="18"/>
      <c r="T32" s="14"/>
      <c r="V32" s="162">
        <v>43647</v>
      </c>
      <c r="W32">
        <v>121.625244</v>
      </c>
      <c r="X32">
        <v>859.14001499999995</v>
      </c>
      <c r="Y32" s="164">
        <f t="shared" si="2"/>
        <v>8.4678342928024175E-2</v>
      </c>
      <c r="Z32" s="164">
        <f t="shared" si="9"/>
        <v>-6.3495251937272686E-3</v>
      </c>
      <c r="AA32">
        <v>51.321776999999997</v>
      </c>
      <c r="AB32">
        <v>859.14001499999995</v>
      </c>
      <c r="AC32" s="164">
        <f t="shared" si="3"/>
        <v>-7.795917569564657E-3</v>
      </c>
      <c r="AD32" s="164">
        <f t="shared" si="10"/>
        <v>-6.3495251937272686E-3</v>
      </c>
      <c r="AE32">
        <v>196.21220400000001</v>
      </c>
      <c r="AF32">
        <v>859.14001499999995</v>
      </c>
      <c r="AG32" s="164">
        <f t="shared" si="4"/>
        <v>6.8438328541242641E-2</v>
      </c>
      <c r="AH32" s="164">
        <f t="shared" si="5"/>
        <v>-6.3495251937272686E-3</v>
      </c>
      <c r="AI32">
        <v>491.84967</v>
      </c>
      <c r="AJ32">
        <v>859.14001499999995</v>
      </c>
      <c r="AK32" s="164">
        <f t="shared" si="6"/>
        <v>7.14286414474814E-2</v>
      </c>
      <c r="AL32" s="164">
        <f t="shared" si="7"/>
        <v>-6.3495251937272686E-3</v>
      </c>
    </row>
    <row r="33" spans="1:38" x14ac:dyDescent="0.3">
      <c r="A33" s="162">
        <v>43678</v>
      </c>
      <c r="B33">
        <v>395.44476300000002</v>
      </c>
      <c r="C33">
        <v>861.28997800000002</v>
      </c>
      <c r="D33" s="164">
        <f t="shared" si="0"/>
        <v>5.6410297358766306E-2</v>
      </c>
      <c r="E33" s="164">
        <f t="shared" si="1"/>
        <v>2.5024593924892102E-3</v>
      </c>
      <c r="F33" s="170">
        <v>5.6410297358766306E-2</v>
      </c>
      <c r="K33" s="18"/>
      <c r="T33" s="14"/>
      <c r="V33" s="162">
        <v>43678</v>
      </c>
      <c r="W33">
        <v>107.747253</v>
      </c>
      <c r="X33">
        <v>861.28997800000002</v>
      </c>
      <c r="Y33" s="164">
        <f t="shared" si="2"/>
        <v>-0.11410452751075258</v>
      </c>
      <c r="Z33" s="164">
        <f t="shared" si="9"/>
        <v>2.5024593924892102E-3</v>
      </c>
      <c r="AA33">
        <v>54.767673000000002</v>
      </c>
      <c r="AB33">
        <v>861.28997800000002</v>
      </c>
      <c r="AC33" s="164">
        <f t="shared" si="3"/>
        <v>6.7142959605627162E-2</v>
      </c>
      <c r="AD33" s="164">
        <f t="shared" si="10"/>
        <v>2.5024593924892102E-3</v>
      </c>
      <c r="AE33">
        <v>200.72389200000001</v>
      </c>
      <c r="AF33">
        <v>861.28997800000002</v>
      </c>
      <c r="AG33" s="164">
        <f t="shared" si="4"/>
        <v>2.2993921417854273E-2</v>
      </c>
      <c r="AH33" s="164">
        <f t="shared" si="5"/>
        <v>2.5024593924892102E-3</v>
      </c>
      <c r="AI33">
        <v>516.442139</v>
      </c>
      <c r="AJ33">
        <v>861.28997800000002</v>
      </c>
      <c r="AK33" s="164">
        <f t="shared" si="6"/>
        <v>4.9999970519447524E-2</v>
      </c>
      <c r="AL33" s="164">
        <f t="shared" si="7"/>
        <v>2.5024593924892102E-3</v>
      </c>
    </row>
    <row r="34" spans="1:38" x14ac:dyDescent="0.3">
      <c r="A34" s="162">
        <v>43709</v>
      </c>
      <c r="B34">
        <v>364.73056000000003</v>
      </c>
      <c r="C34">
        <v>886.59997599999997</v>
      </c>
      <c r="D34" s="164">
        <f t="shared" si="0"/>
        <v>-7.7670020882284377E-2</v>
      </c>
      <c r="E34" s="164">
        <f t="shared" si="1"/>
        <v>2.9386151756661854E-2</v>
      </c>
      <c r="F34" s="170">
        <v>-7.7670020882284377E-2</v>
      </c>
      <c r="K34" s="18"/>
      <c r="T34" s="14"/>
      <c r="V34" s="162">
        <v>43709</v>
      </c>
      <c r="W34">
        <v>107.16899100000001</v>
      </c>
      <c r="X34">
        <v>886.59997599999997</v>
      </c>
      <c r="Y34" s="164">
        <f t="shared" si="2"/>
        <v>-5.3668375192822328E-3</v>
      </c>
      <c r="Z34" s="164">
        <f t="shared" si="9"/>
        <v>2.9386151756661854E-2</v>
      </c>
      <c r="AA34">
        <v>50.643599999999999</v>
      </c>
      <c r="AB34">
        <v>886.59997599999997</v>
      </c>
      <c r="AC34" s="164">
        <f t="shared" si="3"/>
        <v>-7.5301227422972725E-2</v>
      </c>
      <c r="AD34" s="164">
        <f t="shared" si="10"/>
        <v>2.9386151756661854E-2</v>
      </c>
      <c r="AE34">
        <v>195.53233299999999</v>
      </c>
      <c r="AF34">
        <v>886.59997599999997</v>
      </c>
      <c r="AG34" s="164">
        <f t="shared" si="4"/>
        <v>-2.5864180632766985E-2</v>
      </c>
      <c r="AH34" s="164">
        <f t="shared" si="5"/>
        <v>2.9386151756661854E-2</v>
      </c>
      <c r="AI34">
        <v>518.63812299999995</v>
      </c>
      <c r="AJ34">
        <v>886.59997599999997</v>
      </c>
      <c r="AK34" s="164">
        <f t="shared" si="6"/>
        <v>4.2521394637782513E-3</v>
      </c>
      <c r="AL34" s="164">
        <f t="shared" si="7"/>
        <v>2.9386151756661854E-2</v>
      </c>
    </row>
    <row r="35" spans="1:38" x14ac:dyDescent="0.3">
      <c r="A35" s="162">
        <v>43739</v>
      </c>
      <c r="B35">
        <v>391.69689899999997</v>
      </c>
      <c r="C35">
        <v>898.04998799999998</v>
      </c>
      <c r="D35" s="164">
        <f t="shared" ref="D35:D61" si="17">(B35-B34)/B34</f>
        <v>7.3934959000967582E-2</v>
      </c>
      <c r="E35" s="164">
        <f t="shared" si="1"/>
        <v>1.2914518734433189E-2</v>
      </c>
      <c r="F35" s="170">
        <v>7.3934959000967582E-2</v>
      </c>
      <c r="K35" s="18"/>
      <c r="T35" s="14"/>
      <c r="V35" s="162">
        <v>43739</v>
      </c>
      <c r="W35">
        <v>108.51824999999999</v>
      </c>
      <c r="X35">
        <v>898.04998799999998</v>
      </c>
      <c r="Y35" s="164">
        <f t="shared" si="2"/>
        <v>1.2590013094365974E-2</v>
      </c>
      <c r="Z35" s="164">
        <f t="shared" si="9"/>
        <v>1.2914518734433189E-2</v>
      </c>
      <c r="AA35">
        <v>56.49062</v>
      </c>
      <c r="AB35">
        <v>898.04998799999998</v>
      </c>
      <c r="AC35" s="164">
        <f t="shared" si="3"/>
        <v>0.11545427260305351</v>
      </c>
      <c r="AD35" s="164">
        <f t="shared" si="10"/>
        <v>1.2914518734433189E-2</v>
      </c>
      <c r="AE35">
        <v>208.85348500000001</v>
      </c>
      <c r="AF35">
        <v>898.04998799999998</v>
      </c>
      <c r="AG35" s="164">
        <f t="shared" si="4"/>
        <v>6.8127617543437241E-2</v>
      </c>
      <c r="AH35" s="164">
        <f t="shared" si="5"/>
        <v>1.2914518734433189E-2</v>
      </c>
      <c r="AI35">
        <v>555.33880599999998</v>
      </c>
      <c r="AJ35">
        <v>898.04998799999998</v>
      </c>
      <c r="AK35" s="164">
        <f t="shared" si="6"/>
        <v>7.0763565909326781E-2</v>
      </c>
      <c r="AL35" s="164">
        <f t="shared" si="7"/>
        <v>1.2914518734433189E-2</v>
      </c>
    </row>
    <row r="36" spans="1:38" x14ac:dyDescent="0.3">
      <c r="A36" s="162">
        <v>43770</v>
      </c>
      <c r="B36">
        <v>401.29504400000002</v>
      </c>
      <c r="C36">
        <v>902.45001200000002</v>
      </c>
      <c r="D36" s="164">
        <f t="shared" si="17"/>
        <v>2.4504010689142694E-2</v>
      </c>
      <c r="E36" s="164">
        <f t="shared" si="1"/>
        <v>4.8995312719719453E-3</v>
      </c>
      <c r="F36" s="170">
        <v>2.4504010689142694E-2</v>
      </c>
      <c r="K36" s="18"/>
      <c r="T36" s="14"/>
      <c r="V36" s="162">
        <v>43770</v>
      </c>
      <c r="W36">
        <v>135.599625</v>
      </c>
      <c r="X36">
        <v>902.45001200000002</v>
      </c>
      <c r="Y36" s="164">
        <f t="shared" si="2"/>
        <v>0.24955595026642993</v>
      </c>
      <c r="Z36" s="164">
        <f t="shared" si="9"/>
        <v>4.8995312719719453E-3</v>
      </c>
      <c r="AA36">
        <v>53.429637999999997</v>
      </c>
      <c r="AB36">
        <v>902.45001200000002</v>
      </c>
      <c r="AC36" s="164">
        <f t="shared" si="3"/>
        <v>-5.4185668346355603E-2</v>
      </c>
      <c r="AD36" s="164">
        <f t="shared" si="10"/>
        <v>4.8995312719719453E-3</v>
      </c>
      <c r="AE36">
        <v>212.952316</v>
      </c>
      <c r="AF36">
        <v>902.45001200000002</v>
      </c>
      <c r="AG36" s="164">
        <f t="shared" si="4"/>
        <v>1.962538954042347E-2</v>
      </c>
      <c r="AH36" s="164">
        <f t="shared" si="5"/>
        <v>4.8995312719719453E-3</v>
      </c>
      <c r="AI36">
        <v>596.868469</v>
      </c>
      <c r="AJ36">
        <v>902.45001200000002</v>
      </c>
      <c r="AK36" s="164">
        <f t="shared" si="6"/>
        <v>7.4782569759765771E-2</v>
      </c>
      <c r="AL36" s="164">
        <f t="shared" si="7"/>
        <v>4.8995312719719453E-3</v>
      </c>
    </row>
    <row r="37" spans="1:38" x14ac:dyDescent="0.3">
      <c r="A37" s="162">
        <v>43800</v>
      </c>
      <c r="B37">
        <v>410.710419</v>
      </c>
      <c r="C37">
        <v>931.45001200000002</v>
      </c>
      <c r="D37" s="164">
        <f t="shared" si="17"/>
        <v>2.3462475155810753E-2</v>
      </c>
      <c r="E37" s="164">
        <f t="shared" si="1"/>
        <v>3.2134743879863786E-2</v>
      </c>
      <c r="F37" s="170">
        <v>2.3462475155810753E-2</v>
      </c>
      <c r="K37" s="18"/>
      <c r="T37" s="14"/>
      <c r="V37" s="162">
        <v>43800</v>
      </c>
      <c r="W37">
        <v>137.22773699999999</v>
      </c>
      <c r="X37">
        <v>931.45001200000002</v>
      </c>
      <c r="Y37" s="164">
        <f t="shared" si="2"/>
        <v>1.2006758868248989E-2</v>
      </c>
      <c r="Z37" s="164">
        <f t="shared" si="9"/>
        <v>3.2134743879863786E-2</v>
      </c>
      <c r="AA37">
        <v>53.429637999999997</v>
      </c>
      <c r="AB37">
        <v>931.45001200000002</v>
      </c>
      <c r="AC37" s="164">
        <f t="shared" si="3"/>
        <v>0</v>
      </c>
      <c r="AD37" s="164">
        <f t="shared" si="10"/>
        <v>3.2134743879863786E-2</v>
      </c>
      <c r="AE37">
        <v>215.063782</v>
      </c>
      <c r="AF37">
        <v>931.45001200000002</v>
      </c>
      <c r="AG37" s="164">
        <f t="shared" si="4"/>
        <v>9.9152056181441451E-3</v>
      </c>
      <c r="AH37" s="164">
        <f t="shared" si="5"/>
        <v>3.2134743879863786E-2</v>
      </c>
      <c r="AI37">
        <v>627.77429199999995</v>
      </c>
      <c r="AJ37">
        <v>931.45001200000002</v>
      </c>
      <c r="AK37" s="164">
        <f t="shared" si="6"/>
        <v>5.1779955895106831E-2</v>
      </c>
      <c r="AL37" s="164">
        <f t="shared" si="7"/>
        <v>3.2134743879863786E-2</v>
      </c>
    </row>
    <row r="38" spans="1:38" x14ac:dyDescent="0.3">
      <c r="A38" s="162">
        <v>43831</v>
      </c>
      <c r="B38">
        <v>412.90429699999999</v>
      </c>
      <c r="C38">
        <v>913.80999799999995</v>
      </c>
      <c r="D38" s="164">
        <f t="shared" si="17"/>
        <v>5.3416662896978604E-3</v>
      </c>
      <c r="E38" s="164">
        <f t="shared" si="1"/>
        <v>-1.8938229397972312E-2</v>
      </c>
      <c r="F38" s="170">
        <v>5.3416662896978604E-3</v>
      </c>
      <c r="K38" s="18"/>
      <c r="T38" s="14"/>
      <c r="V38" s="162">
        <v>43831</v>
      </c>
      <c r="W38">
        <v>138.30365</v>
      </c>
      <c r="X38">
        <v>913.80999799999995</v>
      </c>
      <c r="Y38" s="164">
        <f t="shared" si="2"/>
        <v>7.840346445412958E-3</v>
      </c>
      <c r="Z38" s="164">
        <f t="shared" si="9"/>
        <v>-1.8938229397972312E-2</v>
      </c>
      <c r="AA38">
        <v>54.840988000000003</v>
      </c>
      <c r="AB38">
        <v>913.80999799999995</v>
      </c>
      <c r="AC38" s="164">
        <f t="shared" si="3"/>
        <v>2.6415114397743175E-2</v>
      </c>
      <c r="AD38" s="164">
        <f t="shared" si="10"/>
        <v>-1.8938229397972312E-2</v>
      </c>
      <c r="AE38">
        <v>207.524292</v>
      </c>
      <c r="AF38">
        <v>913.80999799999995</v>
      </c>
      <c r="AG38" s="164">
        <f t="shared" si="4"/>
        <v>-3.5056995324298727E-2</v>
      </c>
      <c r="AH38" s="164">
        <f t="shared" si="5"/>
        <v>-1.8938229397972312E-2</v>
      </c>
      <c r="AI38">
        <v>633.56909199999996</v>
      </c>
      <c r="AJ38">
        <v>913.80999799999995</v>
      </c>
      <c r="AK38" s="164">
        <f t="shared" si="6"/>
        <v>9.2307061213650499E-3</v>
      </c>
      <c r="AL38" s="164">
        <f t="shared" si="7"/>
        <v>-1.8938229397972312E-2</v>
      </c>
    </row>
    <row r="39" spans="1:38" x14ac:dyDescent="0.3">
      <c r="A39" s="162">
        <v>43862</v>
      </c>
      <c r="B39">
        <v>384.47543300000001</v>
      </c>
      <c r="C39">
        <v>830.26000999999997</v>
      </c>
      <c r="D39" s="164">
        <f t="shared" si="17"/>
        <v>-6.8850976380127077E-2</v>
      </c>
      <c r="E39" s="164">
        <f t="shared" si="1"/>
        <v>-9.1430371940404168E-2</v>
      </c>
      <c r="F39" s="170">
        <v>-6.8850976380127077E-2</v>
      </c>
      <c r="K39" s="18"/>
      <c r="T39" s="14"/>
      <c r="V39" s="162">
        <v>43862</v>
      </c>
      <c r="W39">
        <v>117.078835</v>
      </c>
      <c r="X39">
        <v>830.26000999999997</v>
      </c>
      <c r="Y39" s="164">
        <f t="shared" si="2"/>
        <v>-0.15346532792156972</v>
      </c>
      <c r="Z39" s="164">
        <f t="shared" si="9"/>
        <v>-9.1430371940404168E-2</v>
      </c>
      <c r="AA39">
        <v>52.623154</v>
      </c>
      <c r="AB39">
        <v>830.26000999999997</v>
      </c>
      <c r="AC39" s="164">
        <f t="shared" si="3"/>
        <v>-4.0441175129813552E-2</v>
      </c>
      <c r="AD39" s="164">
        <f t="shared" si="10"/>
        <v>-9.1430371940404168E-2</v>
      </c>
      <c r="AE39">
        <v>186.555069</v>
      </c>
      <c r="AF39">
        <v>830.26000999999997</v>
      </c>
      <c r="AG39" s="164">
        <f t="shared" si="4"/>
        <v>-0.101044667098539</v>
      </c>
      <c r="AH39" s="164">
        <f t="shared" si="5"/>
        <v>-9.1430371940404168E-2</v>
      </c>
      <c r="AI39">
        <v>571.27459699999997</v>
      </c>
      <c r="AJ39">
        <v>830.26000999999997</v>
      </c>
      <c r="AK39" s="164">
        <f t="shared" si="6"/>
        <v>-9.8323128111180005E-2</v>
      </c>
      <c r="AL39" s="164">
        <f t="shared" si="7"/>
        <v>-9.1430371940404168E-2</v>
      </c>
    </row>
    <row r="40" spans="1:38" x14ac:dyDescent="0.3">
      <c r="A40" s="162">
        <v>43891</v>
      </c>
      <c r="B40">
        <v>317.562408</v>
      </c>
      <c r="C40">
        <v>707.13000499999998</v>
      </c>
      <c r="D40" s="164">
        <f t="shared" si="17"/>
        <v>-0.17403719264424367</v>
      </c>
      <c r="E40" s="164">
        <f t="shared" si="1"/>
        <v>-0.14830294548330708</v>
      </c>
      <c r="F40" s="170">
        <v>-0.17403719264424367</v>
      </c>
      <c r="K40" s="18"/>
      <c r="T40" s="14"/>
      <c r="V40" s="162">
        <v>43891</v>
      </c>
      <c r="W40">
        <v>94.582481000000001</v>
      </c>
      <c r="X40">
        <v>707.13000499999998</v>
      </c>
      <c r="Y40" s="164">
        <f t="shared" si="2"/>
        <v>-0.19214706056820599</v>
      </c>
      <c r="Z40" s="164">
        <f t="shared" si="9"/>
        <v>-0.14830294548330708</v>
      </c>
      <c r="AA40">
        <v>46.867783000000003</v>
      </c>
      <c r="AB40">
        <v>707.13000499999998</v>
      </c>
      <c r="AC40" s="164">
        <f t="shared" si="3"/>
        <v>-0.10936955622234268</v>
      </c>
      <c r="AD40" s="164">
        <f t="shared" si="10"/>
        <v>-0.14830294548330708</v>
      </c>
      <c r="AE40">
        <v>151.25285299999999</v>
      </c>
      <c r="AF40">
        <v>707.13000499999998</v>
      </c>
      <c r="AG40" s="164">
        <f t="shared" si="4"/>
        <v>-0.18923214571028363</v>
      </c>
      <c r="AH40" s="164">
        <f t="shared" si="5"/>
        <v>-0.14830294548330708</v>
      </c>
      <c r="AI40">
        <v>477.68795799999998</v>
      </c>
      <c r="AJ40">
        <v>707.13000499999998</v>
      </c>
      <c r="AK40" s="164">
        <f t="shared" si="6"/>
        <v>-0.16382076061400644</v>
      </c>
      <c r="AL40" s="164">
        <f t="shared" si="7"/>
        <v>-0.14830294548330708</v>
      </c>
    </row>
    <row r="41" spans="1:38" x14ac:dyDescent="0.3">
      <c r="A41" s="162">
        <v>43922</v>
      </c>
      <c r="B41">
        <v>365.64468399999998</v>
      </c>
      <c r="C41">
        <v>775.10998500000005</v>
      </c>
      <c r="D41" s="164">
        <f t="shared" si="17"/>
        <v>0.15141047803114019</v>
      </c>
      <c r="E41" s="164">
        <f t="shared" si="1"/>
        <v>9.6135052280803823E-2</v>
      </c>
      <c r="F41" s="170">
        <v>0.15141047803114019</v>
      </c>
      <c r="K41" s="18"/>
      <c r="T41" s="14"/>
      <c r="V41" s="162">
        <v>43922</v>
      </c>
      <c r="W41">
        <v>98.397079000000005</v>
      </c>
      <c r="X41">
        <v>775.10998500000005</v>
      </c>
      <c r="Y41" s="164">
        <f t="shared" si="2"/>
        <v>4.0330914982025096E-2</v>
      </c>
      <c r="Z41" s="164">
        <f t="shared" si="9"/>
        <v>9.6135052280803823E-2</v>
      </c>
      <c r="AA41">
        <v>49.873772000000002</v>
      </c>
      <c r="AB41">
        <v>775.10998500000005</v>
      </c>
      <c r="AC41" s="164">
        <f t="shared" si="3"/>
        <v>6.4137640135442278E-2</v>
      </c>
      <c r="AD41" s="164">
        <f t="shared" si="10"/>
        <v>9.6135052280803823E-2</v>
      </c>
      <c r="AE41">
        <v>167.31723</v>
      </c>
      <c r="AF41">
        <v>775.10998500000005</v>
      </c>
      <c r="AG41" s="164">
        <f t="shared" si="4"/>
        <v>0.10620875362926217</v>
      </c>
      <c r="AH41" s="164">
        <f t="shared" si="5"/>
        <v>9.6135052280803823E-2</v>
      </c>
      <c r="AI41">
        <v>489.18103000000002</v>
      </c>
      <c r="AJ41">
        <v>775.10998500000005</v>
      </c>
      <c r="AK41" s="164">
        <f t="shared" si="6"/>
        <v>2.4059790094185379E-2</v>
      </c>
      <c r="AL41" s="164">
        <f t="shared" si="7"/>
        <v>9.6135052280803823E-2</v>
      </c>
    </row>
    <row r="42" spans="1:38" x14ac:dyDescent="0.3">
      <c r="A42" s="162">
        <v>43952</v>
      </c>
      <c r="B42">
        <v>399.64968900000002</v>
      </c>
      <c r="C42">
        <v>796.77002000000005</v>
      </c>
      <c r="D42" s="164">
        <f t="shared" si="17"/>
        <v>9.3000135071018952E-2</v>
      </c>
      <c r="E42" s="164">
        <f t="shared" si="1"/>
        <v>2.7944466487552722E-2</v>
      </c>
      <c r="F42" s="170">
        <v>9.3000135071018952E-2</v>
      </c>
      <c r="K42" s="18"/>
      <c r="T42" s="14"/>
      <c r="V42" s="162">
        <v>43952</v>
      </c>
      <c r="W42">
        <v>97.223358000000005</v>
      </c>
      <c r="X42">
        <v>796.77002000000005</v>
      </c>
      <c r="Y42" s="164">
        <f t="shared" si="2"/>
        <v>-1.1928413037545559E-2</v>
      </c>
      <c r="Z42" s="164">
        <f t="shared" si="9"/>
        <v>2.7944466487552722E-2</v>
      </c>
      <c r="AA42">
        <v>49.983749000000003</v>
      </c>
      <c r="AB42">
        <v>796.77002000000005</v>
      </c>
      <c r="AC42" s="164">
        <f t="shared" si="3"/>
        <v>2.2051069247379295E-3</v>
      </c>
      <c r="AD42" s="164">
        <f t="shared" si="10"/>
        <v>2.7944466487552722E-2</v>
      </c>
      <c r="AE42">
        <v>174.51516699999999</v>
      </c>
      <c r="AF42">
        <v>796.77002000000005</v>
      </c>
      <c r="AG42" s="164">
        <f t="shared" si="4"/>
        <v>4.3019699764333869E-2</v>
      </c>
      <c r="AH42" s="164">
        <f t="shared" si="5"/>
        <v>2.7944466487552722E-2</v>
      </c>
      <c r="AI42">
        <v>594.26538100000005</v>
      </c>
      <c r="AJ42">
        <v>796.77002000000005</v>
      </c>
      <c r="AK42" s="164">
        <f t="shared" si="6"/>
        <v>0.21481689713110916</v>
      </c>
      <c r="AL42" s="164">
        <f t="shared" si="7"/>
        <v>2.7944466487552722E-2</v>
      </c>
    </row>
    <row r="43" spans="1:38" x14ac:dyDescent="0.3">
      <c r="A43" s="162">
        <v>43983</v>
      </c>
      <c r="B43">
        <v>419.668701</v>
      </c>
      <c r="C43">
        <v>795.21997099999999</v>
      </c>
      <c r="D43" s="164">
        <f t="shared" si="17"/>
        <v>5.00913989201177E-2</v>
      </c>
      <c r="E43" s="164">
        <f t="shared" si="1"/>
        <v>-1.9454158177287571E-3</v>
      </c>
      <c r="F43" s="170">
        <v>5.00913989201177E-2</v>
      </c>
      <c r="K43" s="18"/>
      <c r="T43" s="14"/>
      <c r="V43" s="162">
        <v>43983</v>
      </c>
      <c r="W43">
        <v>96.294158999999993</v>
      </c>
      <c r="X43">
        <v>795.21997099999999</v>
      </c>
      <c r="Y43" s="164">
        <f t="shared" si="2"/>
        <v>-9.557363776717228E-3</v>
      </c>
      <c r="Z43" s="164">
        <f t="shared" si="9"/>
        <v>-1.9454158177287571E-3</v>
      </c>
      <c r="AA43">
        <v>54.353149000000002</v>
      </c>
      <c r="AB43">
        <v>795.21997099999999</v>
      </c>
      <c r="AC43" s="164">
        <f t="shared" si="3"/>
        <v>8.7416412082254952E-2</v>
      </c>
      <c r="AD43" s="164">
        <f t="shared" si="10"/>
        <v>-1.9454158177287571E-3</v>
      </c>
      <c r="AE43">
        <v>174.133835</v>
      </c>
      <c r="AF43">
        <v>795.21997099999999</v>
      </c>
      <c r="AG43" s="164">
        <f t="shared" si="4"/>
        <v>-2.1850937460351871E-3</v>
      </c>
      <c r="AH43" s="164">
        <f t="shared" si="5"/>
        <v>-1.9454158177287571E-3</v>
      </c>
      <c r="AI43">
        <v>594.75647000000004</v>
      </c>
      <c r="AJ43">
        <v>795.21997099999999</v>
      </c>
      <c r="AK43" s="164">
        <f t="shared" si="6"/>
        <v>8.2637995700440793E-4</v>
      </c>
      <c r="AL43" s="164">
        <f t="shared" si="7"/>
        <v>-1.9454158177287571E-3</v>
      </c>
    </row>
    <row r="44" spans="1:38" x14ac:dyDescent="0.3">
      <c r="A44" s="162">
        <v>44013</v>
      </c>
      <c r="B44">
        <v>394.53064000000001</v>
      </c>
      <c r="C44">
        <v>826.22997999999995</v>
      </c>
      <c r="D44" s="164">
        <f t="shared" si="17"/>
        <v>-5.9899775561294465E-2</v>
      </c>
      <c r="E44" s="164">
        <f t="shared" si="1"/>
        <v>3.8995510840861378E-2</v>
      </c>
      <c r="F44" s="170">
        <v>-5.9899775561294465E-2</v>
      </c>
      <c r="K44" s="18"/>
      <c r="T44" s="14"/>
      <c r="V44" s="162">
        <v>44013</v>
      </c>
      <c r="W44">
        <v>89.985405</v>
      </c>
      <c r="X44">
        <v>826.22997999999995</v>
      </c>
      <c r="Y44" s="164">
        <f t="shared" si="2"/>
        <v>-6.5515437961299328E-2</v>
      </c>
      <c r="Z44" s="164">
        <f t="shared" si="9"/>
        <v>3.8995510840861378E-2</v>
      </c>
      <c r="AA44">
        <v>49.648063999999998</v>
      </c>
      <c r="AB44">
        <v>826.22997999999995</v>
      </c>
      <c r="AC44" s="164">
        <f t="shared" si="3"/>
        <v>-8.656508567700473E-2</v>
      </c>
      <c r="AD44" s="164">
        <f t="shared" si="10"/>
        <v>3.8995510840861378E-2</v>
      </c>
      <c r="AE44">
        <v>156.162735</v>
      </c>
      <c r="AF44">
        <v>826.22997999999995</v>
      </c>
      <c r="AG44" s="164">
        <f t="shared" si="4"/>
        <v>-0.10320280375149382</v>
      </c>
      <c r="AH44" s="164">
        <f t="shared" si="5"/>
        <v>3.8995510840861378E-2</v>
      </c>
      <c r="AI44">
        <v>541.71460000000002</v>
      </c>
      <c r="AJ44">
        <v>826.22997999999995</v>
      </c>
      <c r="AK44" s="164">
        <f t="shared" si="6"/>
        <v>-8.9182501873413866E-2</v>
      </c>
      <c r="AL44" s="164">
        <f t="shared" si="7"/>
        <v>3.8995510840861378E-2</v>
      </c>
    </row>
    <row r="45" spans="1:38" x14ac:dyDescent="0.3">
      <c r="A45" s="162">
        <v>44044</v>
      </c>
      <c r="B45">
        <v>432.831909</v>
      </c>
      <c r="C45">
        <v>859.26000999999997</v>
      </c>
      <c r="D45" s="164">
        <f t="shared" si="17"/>
        <v>9.7080594298075279E-2</v>
      </c>
      <c r="E45" s="164">
        <f t="shared" si="1"/>
        <v>3.9976799195788094E-2</v>
      </c>
      <c r="F45" s="170">
        <v>9.7080594298075279E-2</v>
      </c>
      <c r="K45" s="18"/>
      <c r="T45" s="14"/>
      <c r="V45" s="162">
        <v>44044</v>
      </c>
      <c r="W45">
        <v>86.659851000000003</v>
      </c>
      <c r="X45">
        <v>859.26000999999997</v>
      </c>
      <c r="Y45" s="164">
        <f t="shared" si="2"/>
        <v>-3.6956593127518811E-2</v>
      </c>
      <c r="Z45" s="164">
        <f t="shared" si="9"/>
        <v>3.9976799195788094E-2</v>
      </c>
      <c r="AA45">
        <v>51.962971000000003</v>
      </c>
      <c r="AB45">
        <v>859.26000999999997</v>
      </c>
      <c r="AC45" s="164">
        <f t="shared" si="3"/>
        <v>4.6626329679239964E-2</v>
      </c>
      <c r="AD45" s="164">
        <f t="shared" si="10"/>
        <v>3.9976799195788094E-2</v>
      </c>
      <c r="AE45">
        <v>162.88400300000001</v>
      </c>
      <c r="AF45">
        <v>859.26000999999997</v>
      </c>
      <c r="AG45" s="164">
        <f t="shared" si="4"/>
        <v>4.3040152953263848E-2</v>
      </c>
      <c r="AH45" s="164">
        <f t="shared" si="5"/>
        <v>3.9976799195788094E-2</v>
      </c>
      <c r="AI45">
        <v>537.29443400000002</v>
      </c>
      <c r="AJ45">
        <v>859.26000999999997</v>
      </c>
      <c r="AK45" s="164">
        <f t="shared" si="6"/>
        <v>-8.1595844010849891E-3</v>
      </c>
      <c r="AL45" s="164">
        <f t="shared" si="7"/>
        <v>3.9976799195788094E-2</v>
      </c>
    </row>
    <row r="46" spans="1:38" x14ac:dyDescent="0.3">
      <c r="A46" s="162">
        <v>44075</v>
      </c>
      <c r="B46">
        <v>483.56512500000002</v>
      </c>
      <c r="C46">
        <v>856.09002699999996</v>
      </c>
      <c r="D46" s="164">
        <f t="shared" si="17"/>
        <v>0.11721228251681423</v>
      </c>
      <c r="E46" s="164">
        <f t="shared" si="1"/>
        <v>-3.689201130167808E-3</v>
      </c>
      <c r="F46" s="170">
        <v>0.11721228251681423</v>
      </c>
      <c r="K46" s="18"/>
      <c r="T46" s="14"/>
      <c r="V46" s="162">
        <v>44075</v>
      </c>
      <c r="W46">
        <v>83.529929999999993</v>
      </c>
      <c r="X46">
        <v>856.09002699999996</v>
      </c>
      <c r="Y46" s="164">
        <f t="shared" si="2"/>
        <v>-3.6117313425798644E-2</v>
      </c>
      <c r="Z46" s="164">
        <f t="shared" si="9"/>
        <v>-3.689201130167808E-3</v>
      </c>
      <c r="AA46">
        <v>50.438521999999999</v>
      </c>
      <c r="AB46">
        <v>856.09002699999996</v>
      </c>
      <c r="AC46" s="164">
        <f t="shared" si="3"/>
        <v>-2.9337217843067597E-2</v>
      </c>
      <c r="AD46" s="164">
        <f t="shared" si="10"/>
        <v>-3.689201130167808E-3</v>
      </c>
      <c r="AE46">
        <v>158.11715699999999</v>
      </c>
      <c r="AF46">
        <v>856.09002699999996</v>
      </c>
      <c r="AG46" s="164">
        <f t="shared" si="4"/>
        <v>-2.9265280274331267E-2</v>
      </c>
      <c r="AH46" s="164">
        <f t="shared" si="5"/>
        <v>-3.689201130167808E-3</v>
      </c>
      <c r="AI46">
        <v>590.82739300000003</v>
      </c>
      <c r="AJ46">
        <v>856.09002699999996</v>
      </c>
      <c r="AK46" s="164">
        <f t="shared" si="6"/>
        <v>9.963430776950874E-2</v>
      </c>
      <c r="AL46" s="164">
        <f t="shared" si="7"/>
        <v>-3.689201130167808E-3</v>
      </c>
    </row>
    <row r="47" spans="1:38" x14ac:dyDescent="0.3">
      <c r="A47" s="162">
        <v>44105</v>
      </c>
      <c r="B47">
        <v>441.05892899999998</v>
      </c>
      <c r="C47">
        <v>811.84997599999997</v>
      </c>
      <c r="D47" s="164">
        <f t="shared" si="17"/>
        <v>-8.7901698866311009E-2</v>
      </c>
      <c r="E47" s="164">
        <f t="shared" si="1"/>
        <v>-5.1676867624577523E-2</v>
      </c>
      <c r="F47" s="170">
        <v>-8.7901698866311009E-2</v>
      </c>
      <c r="K47" s="18"/>
      <c r="T47" s="14"/>
      <c r="V47" s="162">
        <v>44105</v>
      </c>
      <c r="W47">
        <v>65.972992000000005</v>
      </c>
      <c r="X47">
        <v>811.84997599999997</v>
      </c>
      <c r="Y47" s="164">
        <f t="shared" si="2"/>
        <v>-0.21018739031626135</v>
      </c>
      <c r="Z47" s="164">
        <f t="shared" si="9"/>
        <v>-5.1676867624577523E-2</v>
      </c>
      <c r="AA47">
        <v>42.195210000000003</v>
      </c>
      <c r="AB47">
        <v>811.84997599999997</v>
      </c>
      <c r="AC47" s="164">
        <f t="shared" si="3"/>
        <v>-0.16343286189075873</v>
      </c>
      <c r="AD47" s="164">
        <f t="shared" si="10"/>
        <v>-5.1676867624577523E-2</v>
      </c>
      <c r="AE47">
        <v>143.62583900000001</v>
      </c>
      <c r="AF47">
        <v>811.84997599999997</v>
      </c>
      <c r="AG47" s="164">
        <f t="shared" si="4"/>
        <v>-9.1649244616762104E-2</v>
      </c>
      <c r="AH47" s="164">
        <f t="shared" si="5"/>
        <v>-5.1676867624577523E-2</v>
      </c>
      <c r="AI47">
        <v>534.34765600000003</v>
      </c>
      <c r="AJ47">
        <v>811.84997599999997</v>
      </c>
      <c r="AK47" s="164">
        <f t="shared" si="6"/>
        <v>-9.559431006273604E-2</v>
      </c>
      <c r="AL47" s="164">
        <f t="shared" si="7"/>
        <v>-5.1676867624577523E-2</v>
      </c>
    </row>
    <row r="48" spans="1:38" x14ac:dyDescent="0.3">
      <c r="A48" s="162">
        <v>44136</v>
      </c>
      <c r="B48">
        <v>445.62948599999999</v>
      </c>
      <c r="C48">
        <v>930.39001499999995</v>
      </c>
      <c r="D48" s="164">
        <f t="shared" si="17"/>
        <v>1.0362690106654679E-2</v>
      </c>
      <c r="E48" s="164">
        <f t="shared" si="1"/>
        <v>0.14601224672574231</v>
      </c>
      <c r="F48" s="170">
        <v>1.0362690106654679E-2</v>
      </c>
      <c r="K48" s="18"/>
      <c r="T48" s="14"/>
      <c r="V48" s="162">
        <v>44136</v>
      </c>
      <c r="W48">
        <v>74.824821</v>
      </c>
      <c r="X48">
        <v>930.39001499999995</v>
      </c>
      <c r="Y48" s="164">
        <f t="shared" si="2"/>
        <v>0.13417352664557028</v>
      </c>
      <c r="Z48" s="164">
        <f t="shared" si="9"/>
        <v>0.14601224672574231</v>
      </c>
      <c r="AA48">
        <v>52.320552999999997</v>
      </c>
      <c r="AB48">
        <v>930.39001499999995</v>
      </c>
      <c r="AC48" s="164">
        <f t="shared" si="3"/>
        <v>0.23996427556587568</v>
      </c>
      <c r="AD48" s="164">
        <f t="shared" si="10"/>
        <v>0.14601224672574231</v>
      </c>
      <c r="AE48">
        <v>171.65507500000001</v>
      </c>
      <c r="AF48">
        <v>930.39001499999995</v>
      </c>
      <c r="AG48" s="164">
        <f t="shared" si="4"/>
        <v>0.19515455015026922</v>
      </c>
      <c r="AH48" s="164">
        <f t="shared" si="5"/>
        <v>0.14601224672574231</v>
      </c>
      <c r="AI48">
        <v>547.11700399999995</v>
      </c>
      <c r="AJ48">
        <v>930.39001499999995</v>
      </c>
      <c r="AK48" s="164">
        <f t="shared" si="6"/>
        <v>2.3897078721348265E-2</v>
      </c>
      <c r="AL48" s="164">
        <f t="shared" si="7"/>
        <v>0.14601224672574231</v>
      </c>
    </row>
    <row r="49" spans="1:38" x14ac:dyDescent="0.3">
      <c r="A49" s="162">
        <v>44166</v>
      </c>
      <c r="B49">
        <v>460.34667999999999</v>
      </c>
      <c r="C49">
        <v>973.96997099999999</v>
      </c>
      <c r="D49" s="164">
        <f t="shared" si="17"/>
        <v>3.3025628829237763E-2</v>
      </c>
      <c r="E49" s="164">
        <f t="shared" si="1"/>
        <v>4.6840524185978116E-2</v>
      </c>
      <c r="F49" s="170">
        <v>3.3025628829237763E-2</v>
      </c>
      <c r="K49" s="18" t="s">
        <v>262</v>
      </c>
      <c r="T49" s="14"/>
      <c r="V49" s="162">
        <v>44166</v>
      </c>
      <c r="W49">
        <v>83.138687000000004</v>
      </c>
      <c r="X49">
        <v>973.96997099999999</v>
      </c>
      <c r="Y49" s="164">
        <f t="shared" si="2"/>
        <v>0.11111107101746363</v>
      </c>
      <c r="Z49" s="164">
        <f t="shared" si="9"/>
        <v>4.6840524185978116E-2</v>
      </c>
      <c r="AA49">
        <v>56.988002999999999</v>
      </c>
      <c r="AB49">
        <v>973.96997099999999</v>
      </c>
      <c r="AC49" s="164">
        <f t="shared" si="3"/>
        <v>8.92087283557573E-2</v>
      </c>
      <c r="AD49" s="164">
        <f t="shared" si="10"/>
        <v>4.6840524185978116E-2</v>
      </c>
      <c r="AE49">
        <v>182.09451300000001</v>
      </c>
      <c r="AF49">
        <v>973.96997099999999</v>
      </c>
      <c r="AG49" s="164">
        <f t="shared" si="4"/>
        <v>6.0816366775057452E-2</v>
      </c>
      <c r="AH49" s="164">
        <f t="shared" si="5"/>
        <v>4.6840524185978116E-2</v>
      </c>
      <c r="AI49">
        <v>601.63226299999997</v>
      </c>
      <c r="AJ49">
        <v>973.96997099999999</v>
      </c>
      <c r="AK49" s="164">
        <f t="shared" si="6"/>
        <v>9.9640951755175247E-2</v>
      </c>
      <c r="AL49" s="164">
        <f t="shared" si="7"/>
        <v>4.6840524185978116E-2</v>
      </c>
    </row>
    <row r="50" spans="1:38" ht="15" thickBot="1" x14ac:dyDescent="0.35">
      <c r="A50" s="162">
        <v>44197</v>
      </c>
      <c r="B50">
        <v>485.55728099999999</v>
      </c>
      <c r="C50">
        <v>966.90002400000003</v>
      </c>
      <c r="D50" s="164">
        <f t="shared" si="17"/>
        <v>5.4764381052992493E-2</v>
      </c>
      <c r="E50" s="164">
        <f t="shared" si="1"/>
        <v>-7.2588962806944242E-3</v>
      </c>
      <c r="F50" s="170">
        <v>5.4764381052992493E-2</v>
      </c>
      <c r="K50" s="18"/>
      <c r="T50" s="14"/>
      <c r="V50" s="162">
        <v>44197</v>
      </c>
      <c r="W50">
        <v>78.345984999999999</v>
      </c>
      <c r="X50">
        <v>966.90002400000003</v>
      </c>
      <c r="Y50" s="164">
        <f t="shared" si="2"/>
        <v>-5.7647073497805006E-2</v>
      </c>
      <c r="Z50" s="164">
        <f t="shared" si="9"/>
        <v>-7.2588962806944242E-3</v>
      </c>
      <c r="AA50">
        <v>56.461033</v>
      </c>
      <c r="AB50">
        <v>966.90002400000003</v>
      </c>
      <c r="AC50" s="164">
        <f t="shared" si="3"/>
        <v>-9.2470339766072985E-3</v>
      </c>
      <c r="AD50" s="164">
        <f t="shared" si="10"/>
        <v>-7.2588962806944242E-3</v>
      </c>
      <c r="AE50">
        <v>181.188828</v>
      </c>
      <c r="AF50">
        <v>966.90002400000003</v>
      </c>
      <c r="AG50" s="164">
        <f t="shared" si="4"/>
        <v>-4.9737083511132776E-3</v>
      </c>
      <c r="AH50" s="164">
        <f t="shared" si="5"/>
        <v>-7.2588962806944242E-3</v>
      </c>
      <c r="AI50">
        <v>594.75647000000004</v>
      </c>
      <c r="AJ50">
        <v>966.90002400000003</v>
      </c>
      <c r="AK50" s="164">
        <f t="shared" si="6"/>
        <v>-1.1428564295595182E-2</v>
      </c>
      <c r="AL50" s="164">
        <f t="shared" si="7"/>
        <v>-7.2588962806944242E-3</v>
      </c>
    </row>
    <row r="51" spans="1:38" x14ac:dyDescent="0.3">
      <c r="A51" s="162">
        <v>44228</v>
      </c>
      <c r="B51">
        <v>535.709656</v>
      </c>
      <c r="C51">
        <v>1007.070007</v>
      </c>
      <c r="D51" s="164">
        <f t="shared" si="17"/>
        <v>0.10328827712502164</v>
      </c>
      <c r="E51" s="164">
        <f t="shared" si="1"/>
        <v>4.1545125662340456E-2</v>
      </c>
      <c r="F51" s="170">
        <v>0.10328827712502164</v>
      </c>
      <c r="K51" s="224" t="s">
        <v>263</v>
      </c>
      <c r="L51" s="173"/>
      <c r="T51" s="14"/>
      <c r="V51" s="162">
        <v>44228</v>
      </c>
      <c r="W51">
        <v>80.791245000000004</v>
      </c>
      <c r="X51">
        <v>1007.070007</v>
      </c>
      <c r="Y51" s="164">
        <f t="shared" si="2"/>
        <v>3.1211044190713855E-2</v>
      </c>
      <c r="Z51" s="164">
        <f t="shared" si="9"/>
        <v>4.1545125662340456E-2</v>
      </c>
      <c r="AA51">
        <v>65.588898</v>
      </c>
      <c r="AB51">
        <v>1007.070007</v>
      </c>
      <c r="AC51" s="164">
        <f t="shared" si="3"/>
        <v>0.16166663121448735</v>
      </c>
      <c r="AD51" s="164">
        <f t="shared" si="10"/>
        <v>4.1545125662340456E-2</v>
      </c>
      <c r="AE51">
        <v>199.63658100000001</v>
      </c>
      <c r="AF51">
        <v>1007.070007</v>
      </c>
      <c r="AG51" s="164">
        <f t="shared" si="4"/>
        <v>0.10181506886285509</v>
      </c>
      <c r="AH51" s="164">
        <f t="shared" si="5"/>
        <v>4.1545125662340456E-2</v>
      </c>
      <c r="AI51">
        <v>605.07012899999995</v>
      </c>
      <c r="AJ51">
        <v>1007.070007</v>
      </c>
      <c r="AK51" s="164">
        <f t="shared" si="6"/>
        <v>1.7340978232653636E-2</v>
      </c>
      <c r="AL51" s="164">
        <f t="shared" si="7"/>
        <v>4.1545125662340456E-2</v>
      </c>
    </row>
    <row r="52" spans="1:38" x14ac:dyDescent="0.3">
      <c r="A52" s="162">
        <v>44256</v>
      </c>
      <c r="B52">
        <v>554.11755400000004</v>
      </c>
      <c r="C52">
        <v>1058.8599850000001</v>
      </c>
      <c r="D52" s="164">
        <f t="shared" si="17"/>
        <v>3.4361706558449723E-2</v>
      </c>
      <c r="E52" s="164">
        <f t="shared" si="1"/>
        <v>5.1426393041213887E-2</v>
      </c>
      <c r="F52" s="170">
        <v>3.4361706558449723E-2</v>
      </c>
      <c r="K52" s="18" t="s">
        <v>264</v>
      </c>
      <c r="L52">
        <v>0.33020063292113788</v>
      </c>
      <c r="T52" s="14"/>
      <c r="V52" s="162">
        <v>44256</v>
      </c>
      <c r="W52">
        <v>82.796356000000003</v>
      </c>
      <c r="X52">
        <v>1058.8599850000001</v>
      </c>
      <c r="Y52" s="164">
        <f t="shared" si="2"/>
        <v>2.4818419372049524E-2</v>
      </c>
      <c r="Z52" s="164">
        <f t="shared" si="9"/>
        <v>5.1426393041213887E-2</v>
      </c>
      <c r="AA52">
        <v>68.788353000000001</v>
      </c>
      <c r="AB52">
        <v>1058.8599850000001</v>
      </c>
      <c r="AC52" s="164">
        <f t="shared" si="3"/>
        <v>4.8780435371852116E-2</v>
      </c>
      <c r="AD52" s="164">
        <f t="shared" si="10"/>
        <v>5.1426393041213887E-2</v>
      </c>
      <c r="AE52">
        <v>202.60829200000001</v>
      </c>
      <c r="AF52">
        <v>1058.8599850000001</v>
      </c>
      <c r="AG52" s="164">
        <f t="shared" si="4"/>
        <v>1.4885603555793209E-2</v>
      </c>
      <c r="AH52" s="164">
        <f t="shared" si="5"/>
        <v>5.1426393041213887E-2</v>
      </c>
      <c r="AI52">
        <v>665.47894299999996</v>
      </c>
      <c r="AJ52">
        <v>1058.8599850000001</v>
      </c>
      <c r="AK52" s="164">
        <f t="shared" si="6"/>
        <v>9.983770658095073E-2</v>
      </c>
      <c r="AL52" s="164">
        <f t="shared" si="7"/>
        <v>5.1426393041213887E-2</v>
      </c>
    </row>
    <row r="53" spans="1:38" x14ac:dyDescent="0.3">
      <c r="A53" s="162">
        <v>44287</v>
      </c>
      <c r="B53">
        <v>542.65954599999998</v>
      </c>
      <c r="C53">
        <v>1076.4499510000001</v>
      </c>
      <c r="D53" s="164">
        <f t="shared" si="17"/>
        <v>-2.0677937230626088E-2</v>
      </c>
      <c r="E53" s="164">
        <f t="shared" si="1"/>
        <v>1.6612173704911515E-2</v>
      </c>
      <c r="F53" s="170">
        <v>-2.0677937230626088E-2</v>
      </c>
      <c r="K53" s="18" t="s">
        <v>265</v>
      </c>
      <c r="L53" s="225">
        <v>0.10903245798152003</v>
      </c>
      <c r="T53" s="14"/>
      <c r="V53" s="162">
        <v>44287</v>
      </c>
      <c r="W53">
        <v>80.937957999999995</v>
      </c>
      <c r="X53">
        <v>1076.4499510000001</v>
      </c>
      <c r="Y53" s="164">
        <f t="shared" si="2"/>
        <v>-2.2445408104675622E-2</v>
      </c>
      <c r="Z53" s="164">
        <f t="shared" si="9"/>
        <v>1.6612173704911515E-2</v>
      </c>
      <c r="AA53">
        <v>71.931358000000003</v>
      </c>
      <c r="AB53">
        <v>1076.4499510000001</v>
      </c>
      <c r="AC53" s="164">
        <f t="shared" si="3"/>
        <v>4.5690947128796677E-2</v>
      </c>
      <c r="AD53" s="164">
        <f t="shared" si="10"/>
        <v>1.6612173704911515E-2</v>
      </c>
      <c r="AE53">
        <v>196.30664100000001</v>
      </c>
      <c r="AF53">
        <v>1076.4499510000001</v>
      </c>
      <c r="AG53" s="164">
        <f t="shared" si="4"/>
        <v>-3.1102631278289401E-2</v>
      </c>
      <c r="AH53" s="164">
        <f t="shared" si="5"/>
        <v>1.6612173704911515E-2</v>
      </c>
      <c r="AI53">
        <v>648.878784</v>
      </c>
      <c r="AJ53">
        <v>1076.4499510000001</v>
      </c>
      <c r="AK53" s="164">
        <f t="shared" si="6"/>
        <v>-2.4944679579440823E-2</v>
      </c>
      <c r="AL53" s="164">
        <f t="shared" si="7"/>
        <v>1.6612173704911515E-2</v>
      </c>
    </row>
    <row r="54" spans="1:38" x14ac:dyDescent="0.3">
      <c r="A54" s="162">
        <v>44317</v>
      </c>
      <c r="B54">
        <v>576.84576400000003</v>
      </c>
      <c r="C54">
        <v>1112.8599850000001</v>
      </c>
      <c r="D54" s="164">
        <f t="shared" si="17"/>
        <v>6.2997542846136637E-2</v>
      </c>
      <c r="E54" s="164">
        <f t="shared" si="1"/>
        <v>3.3824177302600844E-2</v>
      </c>
      <c r="F54" s="170">
        <v>6.2997542846136637E-2</v>
      </c>
      <c r="K54" s="18" t="s">
        <v>266</v>
      </c>
      <c r="L54" s="225">
        <v>9.340144847242389E-2</v>
      </c>
      <c r="T54" s="14"/>
      <c r="V54" s="162">
        <v>44317</v>
      </c>
      <c r="W54">
        <v>80.791245000000004</v>
      </c>
      <c r="X54">
        <v>1112.8599850000001</v>
      </c>
      <c r="Y54" s="164">
        <f t="shared" si="2"/>
        <v>-1.812660012994042E-3</v>
      </c>
      <c r="Z54" s="164">
        <f t="shared" si="9"/>
        <v>3.3824177302600844E-2</v>
      </c>
      <c r="AA54">
        <v>70.933875999999998</v>
      </c>
      <c r="AB54">
        <v>1112.8599850000001</v>
      </c>
      <c r="AC54" s="164">
        <f t="shared" si="3"/>
        <v>-1.386713705585824E-2</v>
      </c>
      <c r="AD54" s="164">
        <f t="shared" si="10"/>
        <v>3.3824177302600844E-2</v>
      </c>
      <c r="AE54">
        <v>207.47778299999999</v>
      </c>
      <c r="AF54">
        <v>1112.8599850000001</v>
      </c>
      <c r="AG54" s="164">
        <f t="shared" si="4"/>
        <v>5.6906592375547675E-2</v>
      </c>
      <c r="AH54" s="164">
        <f t="shared" si="5"/>
        <v>3.3824177302600844E-2</v>
      </c>
      <c r="AI54">
        <v>728.39013699999998</v>
      </c>
      <c r="AJ54">
        <v>1112.8599850000001</v>
      </c>
      <c r="AK54" s="164">
        <f t="shared" si="6"/>
        <v>0.12253652756197987</v>
      </c>
      <c r="AL54" s="164">
        <f t="shared" si="7"/>
        <v>3.3824177302600844E-2</v>
      </c>
    </row>
    <row r="55" spans="1:38" x14ac:dyDescent="0.3">
      <c r="A55" s="162">
        <v>44348</v>
      </c>
      <c r="B55">
        <v>536.46093800000006</v>
      </c>
      <c r="C55">
        <v>1120.959961</v>
      </c>
      <c r="D55" s="164">
        <f t="shared" si="17"/>
        <v>-7.0009747007520662E-2</v>
      </c>
      <c r="E55" s="164">
        <f t="shared" si="1"/>
        <v>7.278522104467589E-3</v>
      </c>
      <c r="F55" s="170">
        <v>-7.0009747007520662E-2</v>
      </c>
      <c r="K55" s="18" t="s">
        <v>267</v>
      </c>
      <c r="L55" s="225">
        <v>9.4200283652010386E-2</v>
      </c>
      <c r="T55" s="14"/>
      <c r="V55" s="162">
        <v>44348</v>
      </c>
      <c r="W55">
        <v>86.757660000000001</v>
      </c>
      <c r="X55">
        <v>1120.959961</v>
      </c>
      <c r="Y55" s="164">
        <f t="shared" si="2"/>
        <v>7.384977171722007E-2</v>
      </c>
      <c r="Z55" s="164">
        <f t="shared" si="9"/>
        <v>7.278522104467589E-3</v>
      </c>
      <c r="AA55">
        <v>72.953902999999997</v>
      </c>
      <c r="AB55">
        <v>1120.959961</v>
      </c>
      <c r="AC55" s="164">
        <f t="shared" si="3"/>
        <v>2.8477606383725585E-2</v>
      </c>
      <c r="AD55" s="164">
        <f t="shared" si="10"/>
        <v>7.278522104467589E-3</v>
      </c>
      <c r="AE55">
        <v>209.867188</v>
      </c>
      <c r="AF55">
        <v>1120.959961</v>
      </c>
      <c r="AG55" s="164">
        <f t="shared" si="4"/>
        <v>1.1516437882893759E-2</v>
      </c>
      <c r="AH55" s="164">
        <f t="shared" si="5"/>
        <v>7.278522104467589E-3</v>
      </c>
      <c r="AI55">
        <v>703.64862100000005</v>
      </c>
      <c r="AJ55">
        <v>1120.959961</v>
      </c>
      <c r="AK55" s="164">
        <f t="shared" si="6"/>
        <v>-3.3967395689763348E-2</v>
      </c>
      <c r="AL55" s="164">
        <f t="shared" si="7"/>
        <v>7.278522104467589E-3</v>
      </c>
    </row>
    <row r="56" spans="1:38" ht="15" thickBot="1" x14ac:dyDescent="0.35">
      <c r="A56" s="162">
        <v>44378</v>
      </c>
      <c r="B56">
        <v>568.56994599999996</v>
      </c>
      <c r="C56">
        <v>1134.280029</v>
      </c>
      <c r="D56" s="164">
        <f t="shared" si="17"/>
        <v>5.9853394209290776E-2</v>
      </c>
      <c r="E56" s="164">
        <f t="shared" si="1"/>
        <v>1.1882733071141327E-2</v>
      </c>
      <c r="F56" s="170">
        <v>5.9853394209290776E-2</v>
      </c>
      <c r="K56" s="226" t="s">
        <v>268</v>
      </c>
      <c r="L56" s="171">
        <v>59</v>
      </c>
      <c r="T56" s="14"/>
      <c r="V56" s="162">
        <v>44378</v>
      </c>
      <c r="W56">
        <v>83.334305000000001</v>
      </c>
      <c r="X56">
        <v>1134.280029</v>
      </c>
      <c r="Y56" s="164">
        <f t="shared" si="2"/>
        <v>-3.9458821272957349E-2</v>
      </c>
      <c r="Z56" s="164">
        <f t="shared" si="9"/>
        <v>1.1882733071141327E-2</v>
      </c>
      <c r="AA56">
        <v>77.883217000000002</v>
      </c>
      <c r="AB56">
        <v>1134.280029</v>
      </c>
      <c r="AC56" s="164">
        <f t="shared" si="3"/>
        <v>6.756751588739543E-2</v>
      </c>
      <c r="AD56" s="164">
        <f t="shared" si="10"/>
        <v>1.1882733071141327E-2</v>
      </c>
      <c r="AE56">
        <v>215.80862400000001</v>
      </c>
      <c r="AF56">
        <v>1134.280029</v>
      </c>
      <c r="AG56" s="164">
        <f t="shared" si="4"/>
        <v>2.8310456992448052E-2</v>
      </c>
      <c r="AH56" s="164">
        <f t="shared" si="5"/>
        <v>1.1882733071141327E-2</v>
      </c>
      <c r="AI56">
        <v>742.64123500000005</v>
      </c>
      <c r="AJ56">
        <v>1134.280029</v>
      </c>
      <c r="AK56" s="164">
        <f t="shared" si="6"/>
        <v>5.5414894361030802E-2</v>
      </c>
      <c r="AL56" s="164">
        <f t="shared" si="7"/>
        <v>1.1882733071141327E-2</v>
      </c>
    </row>
    <row r="57" spans="1:38" x14ac:dyDescent="0.3">
      <c r="A57" s="162">
        <v>44409</v>
      </c>
      <c r="B57">
        <v>565.272156</v>
      </c>
      <c r="C57">
        <v>1141.8599850000001</v>
      </c>
      <c r="D57" s="164">
        <f t="shared" si="17"/>
        <v>-5.8001482899343463E-3</v>
      </c>
      <c r="E57" s="164">
        <f t="shared" si="1"/>
        <v>6.6826143511339543E-3</v>
      </c>
      <c r="F57" s="170">
        <v>-5.8001482899343463E-3</v>
      </c>
      <c r="K57" s="18"/>
      <c r="T57" s="14"/>
      <c r="V57" s="162">
        <v>44409</v>
      </c>
      <c r="W57">
        <v>84.654747</v>
      </c>
      <c r="X57">
        <v>1141.8599850000001</v>
      </c>
      <c r="Y57" s="164">
        <f t="shared" si="2"/>
        <v>1.5845119245909593E-2</v>
      </c>
      <c r="Z57" s="164">
        <f t="shared" si="9"/>
        <v>6.6826143511339543E-3</v>
      </c>
      <c r="AA57">
        <v>74.191063</v>
      </c>
      <c r="AB57">
        <v>1141.8599850000001</v>
      </c>
      <c r="AC57" s="164">
        <f t="shared" si="3"/>
        <v>-4.7406285233441273E-2</v>
      </c>
      <c r="AD57" s="164">
        <f t="shared" si="10"/>
        <v>6.6826143511339543E-3</v>
      </c>
      <c r="AE57">
        <v>223.18748500000001</v>
      </c>
      <c r="AF57">
        <v>1141.8599850000001</v>
      </c>
      <c r="AG57" s="164">
        <f t="shared" si="4"/>
        <v>3.4191687353513731E-2</v>
      </c>
      <c r="AH57" s="164">
        <f t="shared" si="5"/>
        <v>6.6826143511339543E-3</v>
      </c>
      <c r="AI57">
        <v>756.29858400000001</v>
      </c>
      <c r="AJ57">
        <v>1141.8599850000001</v>
      </c>
      <c r="AK57" s="164">
        <f t="shared" si="6"/>
        <v>1.8390237918851832E-2</v>
      </c>
      <c r="AL57" s="164">
        <f t="shared" si="7"/>
        <v>6.6826143511339543E-3</v>
      </c>
    </row>
    <row r="58" spans="1:38" ht="15" thickBot="1" x14ac:dyDescent="0.35">
      <c r="A58" s="162">
        <v>44440</v>
      </c>
      <c r="B58">
        <v>564.10821499999997</v>
      </c>
      <c r="C58">
        <v>1163.3199460000001</v>
      </c>
      <c r="D58" s="164">
        <f t="shared" si="17"/>
        <v>-2.0590807235869274E-3</v>
      </c>
      <c r="E58" s="164">
        <f t="shared" si="1"/>
        <v>1.8793863767806892E-2</v>
      </c>
      <c r="F58" s="170">
        <v>-2.0590807235869274E-3</v>
      </c>
      <c r="H58" s="170"/>
      <c r="K58" s="18" t="s">
        <v>269</v>
      </c>
      <c r="T58" s="14"/>
      <c r="V58" s="162">
        <v>44440</v>
      </c>
      <c r="W58">
        <v>80.204384000000005</v>
      </c>
      <c r="X58">
        <v>1163.3199460000001</v>
      </c>
      <c r="Y58" s="164">
        <f t="shared" si="2"/>
        <v>-5.2570743611105419E-2</v>
      </c>
      <c r="Z58" s="164">
        <f t="shared" si="9"/>
        <v>1.8793863767806892E-2</v>
      </c>
      <c r="AA58">
        <v>69.880324999999999</v>
      </c>
      <c r="AB58">
        <v>1163.3199460000001</v>
      </c>
      <c r="AC58" s="164">
        <f t="shared" si="3"/>
        <v>-5.8103197685683526E-2</v>
      </c>
      <c r="AD58" s="164">
        <f t="shared" si="10"/>
        <v>1.8793863767806892E-2</v>
      </c>
      <c r="AE58">
        <v>212.837906</v>
      </c>
      <c r="AF58">
        <v>1163.3199460000001</v>
      </c>
      <c r="AG58" s="164">
        <f t="shared" si="4"/>
        <v>-4.6371681637973589E-2</v>
      </c>
      <c r="AH58" s="164">
        <f t="shared" si="5"/>
        <v>1.8793863767806892E-2</v>
      </c>
      <c r="AI58">
        <v>716.51422100000002</v>
      </c>
      <c r="AJ58">
        <v>1163.3199460000001</v>
      </c>
      <c r="AK58" s="164">
        <f t="shared" si="6"/>
        <v>-5.2604042691160167E-2</v>
      </c>
      <c r="AL58" s="164">
        <f t="shared" si="7"/>
        <v>1.8793863767806892E-2</v>
      </c>
    </row>
    <row r="59" spans="1:38" x14ac:dyDescent="0.3">
      <c r="A59" s="162">
        <v>44470</v>
      </c>
      <c r="B59">
        <v>623.66162099999997</v>
      </c>
      <c r="C59">
        <v>1192.780029</v>
      </c>
      <c r="D59" s="164">
        <f t="shared" si="17"/>
        <v>0.10557088944361499</v>
      </c>
      <c r="E59" s="164">
        <f t="shared" si="1"/>
        <v>2.5324145005246854E-2</v>
      </c>
      <c r="F59" s="170">
        <v>0.10557088944361499</v>
      </c>
      <c r="H59" s="13"/>
      <c r="K59" s="227"/>
      <c r="L59" s="172" t="s">
        <v>273</v>
      </c>
      <c r="M59" s="172" t="s">
        <v>274</v>
      </c>
      <c r="N59" s="172" t="s">
        <v>275</v>
      </c>
      <c r="O59" s="172" t="s">
        <v>276</v>
      </c>
      <c r="P59" s="172" t="s">
        <v>277</v>
      </c>
      <c r="T59" s="14"/>
      <c r="V59" s="162">
        <v>44470</v>
      </c>
      <c r="W59">
        <v>91.794891000000007</v>
      </c>
      <c r="X59">
        <v>1192.780029</v>
      </c>
      <c r="Y59" s="164">
        <f t="shared" si="2"/>
        <v>0.14451213789011835</v>
      </c>
      <c r="Z59" s="164">
        <f t="shared" si="9"/>
        <v>2.5324145005246854E-2</v>
      </c>
      <c r="AA59">
        <v>74.229720999999998</v>
      </c>
      <c r="AB59">
        <v>1192.780029</v>
      </c>
      <c r="AC59" s="164">
        <f t="shared" si="3"/>
        <v>6.2240637833324314E-2</v>
      </c>
      <c r="AD59" s="164">
        <f t="shared" si="10"/>
        <v>2.5324145005246854E-2</v>
      </c>
      <c r="AE59">
        <v>235.38739000000001</v>
      </c>
      <c r="AF59">
        <v>1192.780029</v>
      </c>
      <c r="AG59" s="164">
        <f t="shared" si="4"/>
        <v>0.10594674803838751</v>
      </c>
      <c r="AH59" s="164">
        <f t="shared" si="5"/>
        <v>2.5324145005246854E-2</v>
      </c>
      <c r="AI59">
        <v>772.13311799999997</v>
      </c>
      <c r="AJ59">
        <v>1192.780029</v>
      </c>
      <c r="AK59" s="164">
        <f t="shared" si="6"/>
        <v>7.7624275094464512E-2</v>
      </c>
      <c r="AL59" s="164">
        <f t="shared" si="7"/>
        <v>2.5324145005246854E-2</v>
      </c>
    </row>
    <row r="60" spans="1:38" x14ac:dyDescent="0.3">
      <c r="A60" s="162">
        <v>44501</v>
      </c>
      <c r="B60">
        <v>556.54284700000005</v>
      </c>
      <c r="C60">
        <v>1181.2700199999999</v>
      </c>
      <c r="D60" s="164">
        <f t="shared" si="17"/>
        <v>-0.10762049762237962</v>
      </c>
      <c r="E60" s="164">
        <f t="shared" si="1"/>
        <v>-9.6497331613187853E-3</v>
      </c>
      <c r="F60" s="170">
        <v>-0.10762049762237962</v>
      </c>
      <c r="K60" s="18" t="s">
        <v>270</v>
      </c>
      <c r="L60">
        <v>1</v>
      </c>
      <c r="M60" s="225">
        <v>6.1897512543106048E-2</v>
      </c>
      <c r="N60" s="225">
        <v>6.1897512543106048E-2</v>
      </c>
      <c r="O60" s="225">
        <v>6.9753945142232086</v>
      </c>
      <c r="P60" s="225">
        <v>1.0645339414346576E-2</v>
      </c>
      <c r="T60" s="14"/>
      <c r="V60" s="162">
        <v>44501</v>
      </c>
      <c r="W60">
        <v>78.248176999999998</v>
      </c>
      <c r="X60">
        <v>1181.2700199999999</v>
      </c>
      <c r="Y60" s="164">
        <f t="shared" si="2"/>
        <v>-0.14757590376135429</v>
      </c>
      <c r="Z60" s="164">
        <f t="shared" si="9"/>
        <v>-9.6497331613187853E-3</v>
      </c>
      <c r="AA60">
        <v>61.800106</v>
      </c>
      <c r="AB60">
        <v>1181.2700199999999</v>
      </c>
      <c r="AC60" s="164">
        <f t="shared" si="3"/>
        <v>-0.16744795524692863</v>
      </c>
      <c r="AD60" s="164">
        <f t="shared" si="10"/>
        <v>-9.6497331613187853E-3</v>
      </c>
      <c r="AE60">
        <v>198.43367000000001</v>
      </c>
      <c r="AF60">
        <v>1181.2700199999999</v>
      </c>
      <c r="AG60" s="164">
        <f t="shared" si="4"/>
        <v>-0.15699107755942238</v>
      </c>
      <c r="AH60" s="164">
        <f t="shared" si="5"/>
        <v>-9.6497331613187853E-3</v>
      </c>
      <c r="AI60">
        <v>590.233521</v>
      </c>
      <c r="AJ60">
        <v>1181.2700199999999</v>
      </c>
      <c r="AK60" s="164">
        <f t="shared" si="6"/>
        <v>-0.23558061784885126</v>
      </c>
      <c r="AL60" s="164">
        <f t="shared" si="7"/>
        <v>-9.6497331613187853E-3</v>
      </c>
    </row>
    <row r="61" spans="1:38" x14ac:dyDescent="0.3">
      <c r="A61" s="162">
        <v>44531</v>
      </c>
      <c r="B61">
        <v>589.714294</v>
      </c>
      <c r="C61">
        <v>1201.4300539999999</v>
      </c>
      <c r="D61" s="164">
        <f t="shared" si="17"/>
        <v>5.960268320544948E-2</v>
      </c>
      <c r="E61" s="164">
        <f t="shared" si="1"/>
        <v>1.7066406205754715E-2</v>
      </c>
      <c r="F61" s="170">
        <v>5.960268320544948E-2</v>
      </c>
      <c r="K61" s="18" t="s">
        <v>271</v>
      </c>
      <c r="L61">
        <v>57</v>
      </c>
      <c r="M61" s="225">
        <v>0.50580052608679527</v>
      </c>
      <c r="N61" s="225">
        <v>8.8736934401192156E-3</v>
      </c>
      <c r="O61" s="225"/>
      <c r="P61" s="225"/>
      <c r="T61" s="14"/>
      <c r="V61" s="162">
        <v>44531</v>
      </c>
      <c r="W61">
        <v>81.280288999999996</v>
      </c>
      <c r="X61">
        <v>1201.4300539999999</v>
      </c>
      <c r="Y61" s="164">
        <f>(W61-W60)/W60</f>
        <v>3.8749937905901602E-2</v>
      </c>
      <c r="Z61" s="164">
        <f>(X61-X60)/X60</f>
        <v>1.7066406205754715E-2</v>
      </c>
      <c r="AA61">
        <v>66.652100000000004</v>
      </c>
      <c r="AB61">
        <v>1201.4300539999999</v>
      </c>
      <c r="AC61" s="164">
        <f>(AA61-AA60)/AA60</f>
        <v>7.8511095110419468E-2</v>
      </c>
      <c r="AD61" s="164">
        <f>(AB61-AB60)/AB60</f>
        <v>1.7066406205754715E-2</v>
      </c>
      <c r="AE61">
        <v>201.24269100000001</v>
      </c>
      <c r="AF61">
        <v>1201.4300539999999</v>
      </c>
      <c r="AG61" s="164">
        <f t="shared" si="4"/>
        <v>1.4155969599312462E-2</v>
      </c>
      <c r="AH61" s="164">
        <f t="shared" si="5"/>
        <v>1.7066406205754715E-2</v>
      </c>
      <c r="AI61">
        <v>577.56585700000005</v>
      </c>
      <c r="AJ61">
        <v>1201.4300539999999</v>
      </c>
      <c r="AK61" s="164">
        <f t="shared" si="6"/>
        <v>-2.1462122277531481E-2</v>
      </c>
      <c r="AL61" s="164">
        <f t="shared" si="7"/>
        <v>1.7066406205754715E-2</v>
      </c>
    </row>
    <row r="62" spans="1:38" ht="15" thickBot="1" x14ac:dyDescent="0.35">
      <c r="K62" s="226" t="s">
        <v>63</v>
      </c>
      <c r="L62" s="171">
        <v>58</v>
      </c>
      <c r="M62" s="174">
        <v>0.56769803862990131</v>
      </c>
      <c r="N62" s="174"/>
      <c r="O62" s="174"/>
      <c r="P62" s="174"/>
      <c r="T62" s="14"/>
    </row>
    <row r="63" spans="1:38" ht="15" thickBot="1" x14ac:dyDescent="0.35">
      <c r="K63" s="18"/>
      <c r="T63" s="14"/>
    </row>
    <row r="64" spans="1:38" x14ac:dyDescent="0.3">
      <c r="K64" s="227"/>
      <c r="L64" s="172" t="s">
        <v>278</v>
      </c>
      <c r="M64" s="172" t="s">
        <v>267</v>
      </c>
      <c r="N64" s="172" t="s">
        <v>279</v>
      </c>
      <c r="O64" s="172" t="s">
        <v>280</v>
      </c>
      <c r="P64" s="172" t="s">
        <v>281</v>
      </c>
      <c r="Q64" s="172" t="s">
        <v>282</v>
      </c>
      <c r="R64" s="172" t="s">
        <v>283</v>
      </c>
      <c r="S64" s="172" t="s">
        <v>284</v>
      </c>
      <c r="T64" s="14"/>
    </row>
    <row r="65" spans="11:20" x14ac:dyDescent="0.3">
      <c r="K65" s="18" t="s">
        <v>272</v>
      </c>
      <c r="L65" s="23">
        <v>1.6947674139379768E-2</v>
      </c>
      <c r="M65" s="23">
        <v>1.2628296416178103E-2</v>
      </c>
      <c r="N65" s="23">
        <v>1.3420396212483667</v>
      </c>
      <c r="O65" s="23">
        <v>0.18490468769600507</v>
      </c>
      <c r="P65" s="23">
        <v>-8.3400532437052886E-3</v>
      </c>
      <c r="Q65" s="23">
        <v>4.2235401522464827E-2</v>
      </c>
      <c r="R65" s="23">
        <v>-8.3400532437052886E-3</v>
      </c>
      <c r="S65" s="23">
        <v>4.2235401522464827E-2</v>
      </c>
      <c r="T65" s="14"/>
    </row>
    <row r="66" spans="11:20" ht="15" thickBot="1" x14ac:dyDescent="0.35">
      <c r="K66" s="226" t="s">
        <v>285</v>
      </c>
      <c r="L66" s="175">
        <v>0.77631696877166678</v>
      </c>
      <c r="M66" s="175">
        <v>0.29393729375805588</v>
      </c>
      <c r="N66" s="175">
        <v>2.6410972178666947</v>
      </c>
      <c r="O66" s="175">
        <v>1.0645339414346651E-2</v>
      </c>
      <c r="P66" s="175">
        <v>0.18771769082368595</v>
      </c>
      <c r="Q66" s="175">
        <v>1.3649162467196476</v>
      </c>
      <c r="R66" s="175">
        <v>0.18771769082368595</v>
      </c>
      <c r="S66" s="175">
        <v>1.3649162467196476</v>
      </c>
      <c r="T66" s="14"/>
    </row>
    <row r="67" spans="11:20" x14ac:dyDescent="0.3">
      <c r="K67" s="18"/>
      <c r="T67" s="14"/>
    </row>
    <row r="68" spans="11:20" x14ac:dyDescent="0.3">
      <c r="K68" s="18"/>
      <c r="T68" s="14"/>
    </row>
    <row r="69" spans="11:20" x14ac:dyDescent="0.3">
      <c r="K69" s="18"/>
      <c r="T69" s="14"/>
    </row>
    <row r="70" spans="11:20" x14ac:dyDescent="0.3">
      <c r="K70" s="18"/>
      <c r="T70" s="14"/>
    </row>
    <row r="71" spans="11:20" x14ac:dyDescent="0.3">
      <c r="K71" s="228" t="s">
        <v>351</v>
      </c>
      <c r="T71" s="14"/>
    </row>
    <row r="72" spans="11:20" x14ac:dyDescent="0.3">
      <c r="K72" s="229">
        <f>L29*(2/3)+1*(1/3)</f>
        <v>0.88120714553066715</v>
      </c>
      <c r="T72" s="14"/>
    </row>
    <row r="73" spans="11:20" x14ac:dyDescent="0.3">
      <c r="K73" s="18"/>
      <c r="T73" s="14"/>
    </row>
    <row r="74" spans="11:20" x14ac:dyDescent="0.3">
      <c r="K74" s="20"/>
      <c r="L74" s="1"/>
      <c r="M74" s="1"/>
      <c r="N74" s="1"/>
      <c r="O74" s="1"/>
      <c r="P74" s="1"/>
      <c r="Q74" s="1"/>
      <c r="R74" s="1"/>
      <c r="S74" s="1"/>
      <c r="T74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390B-88FC-4F84-8ED0-777CBFAF7948}">
  <dimension ref="B2:Q36"/>
  <sheetViews>
    <sheetView showGridLines="0" topLeftCell="A2" zoomScale="78" zoomScaleNormal="85" workbookViewId="0">
      <selection activeCell="C15" sqref="C15"/>
    </sheetView>
  </sheetViews>
  <sheetFormatPr defaultColWidth="8.77734375" defaultRowHeight="14.4" x14ac:dyDescent="0.3"/>
  <cols>
    <col min="2" max="2" width="28.33203125" customWidth="1"/>
    <col min="3" max="3" width="17" bestFit="1" customWidth="1"/>
    <col min="4" max="4" width="13" bestFit="1" customWidth="1"/>
    <col min="5" max="6" width="11.88671875" bestFit="1" customWidth="1"/>
    <col min="7" max="7" width="13.6640625" customWidth="1"/>
    <col min="8" max="8" width="23.21875" bestFit="1" customWidth="1"/>
    <col min="9" max="9" width="20.5546875" customWidth="1"/>
    <col min="10" max="10" width="13.33203125" customWidth="1"/>
    <col min="11" max="11" width="14.5546875" customWidth="1"/>
    <col min="12" max="12" width="11.88671875" bestFit="1" customWidth="1"/>
    <col min="13" max="13" width="13.5546875" customWidth="1"/>
    <col min="14" max="14" width="14" customWidth="1"/>
    <col min="16" max="16" width="8.77734375" customWidth="1"/>
    <col min="20" max="20" width="8.77734375" customWidth="1"/>
    <col min="26" max="26" width="8.77734375" customWidth="1"/>
  </cols>
  <sheetData>
    <row r="2" spans="2:17" x14ac:dyDescent="0.3">
      <c r="B2" s="303" t="s">
        <v>418</v>
      </c>
      <c r="C2" s="303" t="s">
        <v>229</v>
      </c>
      <c r="D2" s="303" t="s">
        <v>419</v>
      </c>
      <c r="E2" s="303" t="s">
        <v>255</v>
      </c>
      <c r="F2" s="303" t="s">
        <v>240</v>
      </c>
      <c r="H2" s="49"/>
      <c r="I2" s="303" t="s">
        <v>420</v>
      </c>
      <c r="J2" s="303" t="s">
        <v>229</v>
      </c>
      <c r="K2" s="303" t="s">
        <v>419</v>
      </c>
      <c r="L2" s="303" t="s">
        <v>255</v>
      </c>
      <c r="M2" s="303" t="s">
        <v>240</v>
      </c>
      <c r="Q2" t="s">
        <v>483</v>
      </c>
    </row>
    <row r="3" spans="2:17" x14ac:dyDescent="0.3">
      <c r="B3" s="49" t="s">
        <v>421</v>
      </c>
      <c r="C3" s="79">
        <v>607.4</v>
      </c>
      <c r="D3" s="79">
        <v>81.28</v>
      </c>
      <c r="E3" s="79">
        <v>66.650000000000006</v>
      </c>
      <c r="F3" s="79">
        <v>566.75</v>
      </c>
      <c r="H3" s="49"/>
      <c r="I3" s="49" t="s">
        <v>422</v>
      </c>
      <c r="J3" s="49">
        <f>C13</f>
        <v>71551719.3926</v>
      </c>
      <c r="K3" s="49">
        <f>D13</f>
        <v>9128881.9199999999</v>
      </c>
      <c r="L3" s="49">
        <f>E13</f>
        <v>39688475.400000006</v>
      </c>
      <c r="M3" s="49">
        <f>F13</f>
        <v>33480756.25</v>
      </c>
    </row>
    <row r="4" spans="2:17" x14ac:dyDescent="0.3">
      <c r="B4" s="49" t="s">
        <v>84</v>
      </c>
      <c r="C4" s="79">
        <v>22.61</v>
      </c>
      <c r="D4" s="79">
        <v>10.7</v>
      </c>
      <c r="E4" s="79">
        <v>4.42</v>
      </c>
      <c r="F4" s="79">
        <v>16.32</v>
      </c>
      <c r="H4" s="49"/>
      <c r="I4" s="49" t="s">
        <v>423</v>
      </c>
      <c r="J4" s="304">
        <f>'Balance Sheet'!AJ42</f>
        <v>5016747</v>
      </c>
      <c r="K4" s="304">
        <v>1532543</v>
      </c>
      <c r="L4" s="304">
        <v>2064988</v>
      </c>
      <c r="M4" s="304">
        <v>2125811</v>
      </c>
    </row>
    <row r="5" spans="2:17" x14ac:dyDescent="0.3">
      <c r="B5" s="49" t="s">
        <v>418</v>
      </c>
      <c r="C5" s="79">
        <f>C3/C4</f>
        <v>26.864219371959308</v>
      </c>
      <c r="D5" s="79">
        <f t="shared" ref="D5:F5" si="0">D3/D4</f>
        <v>7.5962616822429911</v>
      </c>
      <c r="E5" s="79">
        <f t="shared" si="0"/>
        <v>15.079185520361992</v>
      </c>
      <c r="F5" s="79">
        <f t="shared" si="0"/>
        <v>34.727328431372548</v>
      </c>
      <c r="H5" s="49"/>
      <c r="I5" s="49" t="s">
        <v>424</v>
      </c>
      <c r="J5" s="49">
        <f>SUM(J3:J4)</f>
        <v>76568466.3926</v>
      </c>
      <c r="K5" s="49">
        <f>SUM(K3:K4)</f>
        <v>10661424.92</v>
      </c>
      <c r="L5" s="49">
        <f>SUM(L3:L4)</f>
        <v>41753463.400000006</v>
      </c>
      <c r="M5" s="49">
        <f>SUM(M3:M4)</f>
        <v>35606567.25</v>
      </c>
    </row>
    <row r="6" spans="2:17" x14ac:dyDescent="0.3">
      <c r="B6" s="49" t="s">
        <v>425</v>
      </c>
      <c r="C6" s="79">
        <f>AVERAGE(C5,D5:F5)</f>
        <v>21.066748751484212</v>
      </c>
      <c r="H6" s="49"/>
      <c r="I6" s="49" t="s">
        <v>426</v>
      </c>
      <c r="J6" s="304">
        <f>'Income Statement'!P18</f>
        <v>3798408</v>
      </c>
      <c r="K6" s="304">
        <v>1044837</v>
      </c>
      <c r="L6" s="304">
        <v>3776334</v>
      </c>
      <c r="M6" s="304">
        <v>1178270</v>
      </c>
    </row>
    <row r="7" spans="2:17" x14ac:dyDescent="0.3">
      <c r="B7" s="49" t="s">
        <v>427</v>
      </c>
      <c r="C7" s="30">
        <f>C4*C6</f>
        <v>476.31918927105801</v>
      </c>
      <c r="D7" s="79"/>
      <c r="E7" s="79"/>
      <c r="F7" s="79"/>
      <c r="H7" s="49"/>
      <c r="I7" s="49" t="s">
        <v>420</v>
      </c>
      <c r="J7" s="79">
        <f>J5/J6</f>
        <v>20.158041577576711</v>
      </c>
      <c r="K7" s="79">
        <f>K5/K6</f>
        <v>10.203912112607037</v>
      </c>
      <c r="L7" s="79">
        <f>L5/L6</f>
        <v>11.056612947901327</v>
      </c>
      <c r="M7" s="79">
        <f>M5/M6</f>
        <v>30.219361648858072</v>
      </c>
    </row>
    <row r="8" spans="2:17" x14ac:dyDescent="0.3">
      <c r="D8" s="79"/>
      <c r="E8" s="79"/>
      <c r="F8" s="79"/>
      <c r="I8" s="49" t="s">
        <v>425</v>
      </c>
      <c r="J8" s="305">
        <f>AVERAGE(J7,K7:M7)</f>
        <v>17.909482071735788</v>
      </c>
      <c r="K8" s="49"/>
      <c r="L8" s="49"/>
      <c r="M8" s="49"/>
      <c r="N8" s="49"/>
    </row>
    <row r="9" spans="2:17" x14ac:dyDescent="0.3">
      <c r="B9" s="49"/>
      <c r="C9" s="308"/>
      <c r="D9" s="305"/>
      <c r="H9" s="49"/>
      <c r="I9" s="49" t="s">
        <v>428</v>
      </c>
      <c r="J9" s="49">
        <f>J8*J6</f>
        <v>68027519.977137789</v>
      </c>
      <c r="K9" s="49"/>
      <c r="L9" s="49"/>
      <c r="M9" s="49"/>
      <c r="N9" s="49"/>
    </row>
    <row r="10" spans="2:17" x14ac:dyDescent="0.3">
      <c r="D10" s="49"/>
      <c r="E10" s="49"/>
      <c r="F10" s="49"/>
      <c r="H10" s="49"/>
      <c r="I10" s="49" t="s">
        <v>431</v>
      </c>
      <c r="J10" s="49">
        <f>C27</f>
        <v>117799.999</v>
      </c>
      <c r="K10" s="49"/>
      <c r="L10" s="49"/>
      <c r="M10" s="49"/>
      <c r="N10" s="49"/>
    </row>
    <row r="11" spans="2:17" x14ac:dyDescent="0.3">
      <c r="B11" s="49"/>
      <c r="C11" s="49"/>
      <c r="D11" s="49"/>
      <c r="E11" s="49"/>
      <c r="F11" s="49"/>
      <c r="H11" s="49"/>
      <c r="I11" s="49" t="s">
        <v>427</v>
      </c>
      <c r="J11" s="79">
        <f>(J9-J4)/J10</f>
        <v>534.89620977957554</v>
      </c>
      <c r="K11" s="49"/>
      <c r="L11" s="49"/>
      <c r="M11" s="49"/>
      <c r="N11" s="49"/>
    </row>
    <row r="12" spans="2:17" x14ac:dyDescent="0.3">
      <c r="B12" s="303"/>
      <c r="C12" s="303" t="s">
        <v>229</v>
      </c>
      <c r="D12" s="303" t="s">
        <v>419</v>
      </c>
      <c r="E12" s="303" t="s">
        <v>255</v>
      </c>
      <c r="F12" s="303" t="s">
        <v>240</v>
      </c>
      <c r="H12" s="49"/>
      <c r="K12" s="49"/>
      <c r="L12" s="49"/>
      <c r="M12" s="49"/>
      <c r="N12" s="49"/>
    </row>
    <row r="13" spans="2:17" x14ac:dyDescent="0.3">
      <c r="B13" s="49" t="s">
        <v>422</v>
      </c>
      <c r="C13" s="49">
        <f>C3*C27</f>
        <v>71551719.3926</v>
      </c>
      <c r="D13" s="49">
        <f>D3*D27</f>
        <v>9128881.9199999999</v>
      </c>
      <c r="E13" s="49">
        <f>E3*E27</f>
        <v>39688475.400000006</v>
      </c>
      <c r="F13" s="49">
        <f>F3*F27</f>
        <v>33480756.25</v>
      </c>
      <c r="H13" s="49"/>
      <c r="K13" s="49"/>
      <c r="L13" s="49"/>
      <c r="M13" s="49"/>
      <c r="N13" s="49"/>
    </row>
    <row r="14" spans="2:17" x14ac:dyDescent="0.3">
      <c r="B14" s="49" t="s">
        <v>429</v>
      </c>
      <c r="C14" s="49">
        <f>Beta!N14</f>
        <v>15483176</v>
      </c>
      <c r="D14" s="49">
        <f>Beta!N10</f>
        <v>5563302</v>
      </c>
      <c r="E14" s="49">
        <f>Beta!N13</f>
        <v>19323102</v>
      </c>
      <c r="F14" s="49">
        <f>Beta!N12</f>
        <v>9347545</v>
      </c>
      <c r="K14" s="49"/>
      <c r="L14" s="49"/>
      <c r="M14" s="49"/>
    </row>
    <row r="15" spans="2:17" x14ac:dyDescent="0.3">
      <c r="B15" s="49" t="s">
        <v>430</v>
      </c>
      <c r="C15" s="79">
        <f>C13/C14</f>
        <v>4.6212559614771545</v>
      </c>
      <c r="D15" s="79">
        <f t="shared" ref="D15:F15" si="1">D13/D14</f>
        <v>1.6409107253210413</v>
      </c>
      <c r="E15" s="79">
        <f t="shared" si="1"/>
        <v>2.053939134617206</v>
      </c>
      <c r="F15" s="79">
        <f t="shared" si="1"/>
        <v>3.5817699995025434</v>
      </c>
      <c r="K15" s="49"/>
      <c r="L15" s="49"/>
      <c r="M15" s="49"/>
    </row>
    <row r="16" spans="2:17" x14ac:dyDescent="0.3">
      <c r="B16" s="49"/>
      <c r="C16" s="79"/>
      <c r="D16" s="79"/>
      <c r="E16" s="79"/>
      <c r="F16" s="79"/>
      <c r="G16" s="49"/>
      <c r="H16" s="49"/>
      <c r="I16" s="49"/>
      <c r="J16" s="49"/>
      <c r="K16" s="49"/>
      <c r="L16" s="49"/>
      <c r="M16" s="49"/>
    </row>
    <row r="17" spans="2:13" x14ac:dyDescent="0.3">
      <c r="B17" s="49" t="s">
        <v>425</v>
      </c>
      <c r="C17" s="305">
        <f>GEOMEAN(C15:F15)</f>
        <v>2.7329555012972895</v>
      </c>
      <c r="D17" s="79"/>
      <c r="E17" s="49"/>
      <c r="F17" s="49"/>
      <c r="G17" s="49"/>
      <c r="H17" s="49"/>
      <c r="I17" s="49"/>
      <c r="J17" s="49"/>
      <c r="K17" s="49"/>
      <c r="L17" s="49"/>
      <c r="M17" s="49"/>
    </row>
    <row r="18" spans="2:13" x14ac:dyDescent="0.3">
      <c r="B18" s="49"/>
      <c r="C18" s="49"/>
      <c r="D18" s="49"/>
      <c r="E18" s="49"/>
      <c r="F18" s="49"/>
      <c r="G18" s="49"/>
      <c r="I18" s="303" t="s">
        <v>441</v>
      </c>
      <c r="J18" s="303" t="s">
        <v>229</v>
      </c>
      <c r="K18" s="303" t="s">
        <v>419</v>
      </c>
      <c r="L18" s="303" t="s">
        <v>255</v>
      </c>
      <c r="M18" s="303" t="s">
        <v>240</v>
      </c>
    </row>
    <row r="19" spans="2:13" x14ac:dyDescent="0.3">
      <c r="B19" s="49" t="s">
        <v>432</v>
      </c>
      <c r="C19" s="3">
        <f>C14*C17</f>
        <v>42314831.026754163</v>
      </c>
      <c r="D19" s="49"/>
      <c r="E19" s="49"/>
      <c r="F19" s="49"/>
      <c r="G19" s="49"/>
      <c r="I19" s="49" t="s">
        <v>422</v>
      </c>
      <c r="J19" s="49">
        <f t="shared" ref="J19:M21" si="2">J3</f>
        <v>71551719.3926</v>
      </c>
      <c r="K19" s="49">
        <f t="shared" si="2"/>
        <v>9128881.9199999999</v>
      </c>
      <c r="L19" s="49">
        <f t="shared" si="2"/>
        <v>39688475.400000006</v>
      </c>
      <c r="M19" s="49">
        <f t="shared" si="2"/>
        <v>33480756.25</v>
      </c>
    </row>
    <row r="20" spans="2:13" x14ac:dyDescent="0.3">
      <c r="D20" s="49"/>
      <c r="E20" s="49"/>
      <c r="F20" s="49"/>
      <c r="G20" s="49"/>
      <c r="I20" s="49" t="s">
        <v>423</v>
      </c>
      <c r="J20" s="49">
        <f t="shared" si="2"/>
        <v>5016747</v>
      </c>
      <c r="K20" s="49">
        <f t="shared" si="2"/>
        <v>1532543</v>
      </c>
      <c r="L20" s="49">
        <f t="shared" si="2"/>
        <v>2064988</v>
      </c>
      <c r="M20" s="49">
        <f t="shared" si="2"/>
        <v>2125811</v>
      </c>
    </row>
    <row r="21" spans="2:13" x14ac:dyDescent="0.3">
      <c r="D21" s="49"/>
      <c r="E21" s="49"/>
      <c r="F21" s="49"/>
      <c r="G21" s="49"/>
      <c r="I21" s="49" t="s">
        <v>424</v>
      </c>
      <c r="J21" s="49">
        <f t="shared" si="2"/>
        <v>76568466.3926</v>
      </c>
      <c r="K21" s="49">
        <f t="shared" si="2"/>
        <v>10661424.92</v>
      </c>
      <c r="L21" s="49">
        <f t="shared" si="2"/>
        <v>41753463.400000006</v>
      </c>
      <c r="M21" s="49">
        <f t="shared" si="2"/>
        <v>35606567.25</v>
      </c>
    </row>
    <row r="22" spans="2:13" x14ac:dyDescent="0.3">
      <c r="B22" s="49" t="s">
        <v>433</v>
      </c>
      <c r="C22" s="49">
        <f>C27</f>
        <v>117799.999</v>
      </c>
      <c r="D22" s="49"/>
      <c r="E22" s="49"/>
      <c r="F22" s="49"/>
      <c r="G22" s="49"/>
      <c r="I22" s="49" t="s">
        <v>11</v>
      </c>
      <c r="J22" s="304">
        <f>'Income Statement'!P16</f>
        <v>4601544</v>
      </c>
      <c r="K22" s="304">
        <v>1492358</v>
      </c>
      <c r="L22" s="304">
        <v>4972254</v>
      </c>
      <c r="M22" s="304">
        <v>1703762</v>
      </c>
    </row>
    <row r="23" spans="2:13" x14ac:dyDescent="0.3">
      <c r="B23" s="49"/>
      <c r="C23" s="49"/>
      <c r="D23" s="49"/>
      <c r="E23" s="49"/>
      <c r="F23" s="49"/>
      <c r="G23" s="49"/>
      <c r="I23" s="49" t="s">
        <v>441</v>
      </c>
      <c r="J23" s="79">
        <f>J21/J22</f>
        <v>16.639733618237706</v>
      </c>
      <c r="K23" s="79">
        <f t="shared" ref="K23:M23" si="3">K21/K22</f>
        <v>7.144012978119191</v>
      </c>
      <c r="L23" s="79">
        <f t="shared" si="3"/>
        <v>8.3972909268110616</v>
      </c>
      <c r="M23" s="79">
        <f t="shared" si="3"/>
        <v>20.898791761994925</v>
      </c>
    </row>
    <row r="24" spans="2:13" x14ac:dyDescent="0.3">
      <c r="B24" s="49" t="s">
        <v>427</v>
      </c>
      <c r="C24" s="49">
        <v>390.95</v>
      </c>
      <c r="D24" s="49"/>
      <c r="E24" s="49"/>
      <c r="F24" s="49"/>
      <c r="G24" s="49"/>
      <c r="I24" s="49" t="s">
        <v>425</v>
      </c>
      <c r="J24" s="305">
        <f>AVERAGE(J23,K23:M23)</f>
        <v>13.269957321290722</v>
      </c>
      <c r="K24" s="49"/>
      <c r="L24" s="49"/>
      <c r="M24" s="49"/>
    </row>
    <row r="25" spans="2:13" x14ac:dyDescent="0.3">
      <c r="B25" s="49"/>
      <c r="C25" s="49"/>
      <c r="D25" s="49"/>
      <c r="E25" s="49"/>
      <c r="F25" s="49"/>
      <c r="G25" s="49"/>
      <c r="I25" s="49" t="s">
        <v>428</v>
      </c>
      <c r="J25" s="49">
        <f>J24*J22</f>
        <v>61062292.492041394</v>
      </c>
      <c r="K25" s="49"/>
      <c r="L25" s="49"/>
      <c r="M25" s="49"/>
    </row>
    <row r="26" spans="2:13" x14ac:dyDescent="0.3">
      <c r="I26" s="49" t="s">
        <v>431</v>
      </c>
      <c r="J26" s="10">
        <f>C27</f>
        <v>117799.999</v>
      </c>
      <c r="K26" s="49"/>
      <c r="L26" s="49"/>
      <c r="M26" s="49"/>
    </row>
    <row r="27" spans="2:13" x14ac:dyDescent="0.3">
      <c r="B27" s="309" t="s">
        <v>434</v>
      </c>
      <c r="C27" s="309">
        <f>'Vekst og lønnsomhet'!Q43/1000</f>
        <v>117799.999</v>
      </c>
      <c r="D27" s="310">
        <v>112314</v>
      </c>
      <c r="E27" s="310">
        <v>595476</v>
      </c>
      <c r="F27" s="310">
        <v>59075</v>
      </c>
      <c r="I27" s="49" t="s">
        <v>427</v>
      </c>
      <c r="J27" s="9">
        <f>(J25-J20)/J26</f>
        <v>475.76864149244511</v>
      </c>
      <c r="K27" s="49"/>
      <c r="L27" s="49"/>
      <c r="M27" s="49"/>
    </row>
    <row r="28" spans="2:13" x14ac:dyDescent="0.3">
      <c r="B28" s="49"/>
      <c r="C28" s="49"/>
      <c r="D28" s="49"/>
      <c r="E28" s="49"/>
      <c r="F28" s="49"/>
      <c r="G28" s="49"/>
      <c r="K28" s="49"/>
      <c r="L28" s="49"/>
      <c r="M28" s="49"/>
    </row>
    <row r="29" spans="2:13" x14ac:dyDescent="0.3">
      <c r="B29" s="49"/>
      <c r="C29" s="49"/>
      <c r="D29" s="49"/>
      <c r="E29" s="304"/>
      <c r="F29" s="49"/>
      <c r="G29" s="49"/>
    </row>
    <row r="31" spans="2:13" x14ac:dyDescent="0.3">
      <c r="B31" t="s">
        <v>435</v>
      </c>
    </row>
    <row r="32" spans="2:13" x14ac:dyDescent="0.3">
      <c r="B32" t="s">
        <v>436</v>
      </c>
    </row>
    <row r="33" spans="2:8" x14ac:dyDescent="0.3">
      <c r="B33" t="s">
        <v>437</v>
      </c>
    </row>
    <row r="34" spans="2:8" x14ac:dyDescent="0.3">
      <c r="B34" t="s">
        <v>438</v>
      </c>
    </row>
    <row r="35" spans="2:8" x14ac:dyDescent="0.3">
      <c r="B35" t="s">
        <v>439</v>
      </c>
      <c r="H35" s="305"/>
    </row>
    <row r="36" spans="2:8" x14ac:dyDescent="0.3">
      <c r="B36" t="s">
        <v>440</v>
      </c>
      <c r="H36" s="30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698B-D36E-4AAC-980D-F024C060D8B5}">
  <dimension ref="C3:H48"/>
  <sheetViews>
    <sheetView showGridLines="0" zoomScale="66" zoomScaleNormal="66" workbookViewId="0">
      <selection activeCell="D13" sqref="D13"/>
    </sheetView>
  </sheetViews>
  <sheetFormatPr defaultRowHeight="14.4" x14ac:dyDescent="0.3"/>
  <cols>
    <col min="3" max="3" width="31.5546875" customWidth="1"/>
    <col min="4" max="4" width="18.6640625" bestFit="1" customWidth="1"/>
    <col min="5" max="6" width="16.44140625" bestFit="1" customWidth="1"/>
    <col min="7" max="7" width="12.77734375" bestFit="1" customWidth="1"/>
    <col min="8" max="8" width="14.77734375" bestFit="1" customWidth="1"/>
    <col min="9" max="9" width="12.6640625" bestFit="1" customWidth="1"/>
    <col min="12" max="12" width="32.6640625" bestFit="1" customWidth="1"/>
    <col min="13" max="13" width="16.44140625" bestFit="1" customWidth="1"/>
    <col min="14" max="14" width="10.6640625" bestFit="1" customWidth="1"/>
    <col min="15" max="17" width="12.109375" bestFit="1" customWidth="1"/>
    <col min="18" max="19" width="7.44140625" bestFit="1" customWidth="1"/>
  </cols>
  <sheetData>
    <row r="3" spans="3:8" x14ac:dyDescent="0.3">
      <c r="D3" s="311">
        <v>1</v>
      </c>
      <c r="E3" s="311">
        <v>2</v>
      </c>
      <c r="F3" s="311">
        <v>3</v>
      </c>
      <c r="G3" s="311">
        <v>4</v>
      </c>
      <c r="H3" s="311">
        <v>5</v>
      </c>
    </row>
    <row r="5" spans="3:8" x14ac:dyDescent="0.3">
      <c r="C5" s="312" t="s">
        <v>450</v>
      </c>
      <c r="D5" s="311" t="s">
        <v>353</v>
      </c>
      <c r="E5" s="311" t="s">
        <v>354</v>
      </c>
      <c r="F5" s="311" t="s">
        <v>355</v>
      </c>
      <c r="G5" s="311" t="s">
        <v>356</v>
      </c>
      <c r="H5" s="311" t="s">
        <v>500</v>
      </c>
    </row>
    <row r="6" spans="3:8" x14ac:dyDescent="0.3">
      <c r="C6" t="s">
        <v>446</v>
      </c>
      <c r="D6" s="3">
        <f>D30</f>
        <v>3672860.2337512746</v>
      </c>
      <c r="E6" s="3">
        <f>E30</f>
        <v>568745.42860495392</v>
      </c>
      <c r="F6" s="3">
        <f>F30</f>
        <v>3609101.8530596616</v>
      </c>
      <c r="G6" s="3">
        <f>G30</f>
        <v>3950507.8542812299</v>
      </c>
      <c r="H6" s="3">
        <f>G6*(1+2%)</f>
        <v>4029518.0113668544</v>
      </c>
    </row>
    <row r="7" spans="3:8" x14ac:dyDescent="0.3">
      <c r="C7" t="s">
        <v>204</v>
      </c>
      <c r="D7" s="358">
        <f>'Vekst og lønnsomhet'!$Q$37</f>
        <v>7.0709343727059684E-2</v>
      </c>
      <c r="E7" s="358">
        <f>'Vekst og lønnsomhet'!$Q$37</f>
        <v>7.0709343727059684E-2</v>
      </c>
      <c r="F7" s="358">
        <f>'Vekst og lønnsomhet'!$Q$37</f>
        <v>7.0709343727059684E-2</v>
      </c>
      <c r="G7" s="358">
        <f>'Vekst og lønnsomhet'!$Q$37</f>
        <v>7.0709343727059684E-2</v>
      </c>
      <c r="H7" s="358">
        <f>'Vekst og lønnsomhet'!$Q$37</f>
        <v>7.0709343727059684E-2</v>
      </c>
    </row>
    <row r="8" spans="3:8" x14ac:dyDescent="0.3">
      <c r="C8" t="s">
        <v>501</v>
      </c>
      <c r="D8" s="356">
        <f>+(1+D7)^-D3</f>
        <v>0.93396028143275034</v>
      </c>
      <c r="E8" s="356">
        <f>+(1+E7)^-E3</f>
        <v>0.87228180729394211</v>
      </c>
      <c r="F8" s="356">
        <f>+(1+F7)^-F3</f>
        <v>0.81467656222891827</v>
      </c>
      <c r="G8" s="356">
        <f>+(1+G7)^-G3</f>
        <v>0.76087555133598594</v>
      </c>
      <c r="H8" s="356"/>
    </row>
    <row r="9" spans="3:8" x14ac:dyDescent="0.3">
      <c r="C9" t="s">
        <v>502</v>
      </c>
      <c r="D9" s="357">
        <f>D6/((1+D7)^D3)</f>
        <v>3430305.5775774978</v>
      </c>
      <c r="E9" s="357">
        <f>E6/((1+E7)^E3)</f>
        <v>496106.29035369691</v>
      </c>
      <c r="F9" s="357">
        <f>F6/((1+F7)^F3)</f>
        <v>2940250.6903846636</v>
      </c>
      <c r="G9" s="357">
        <f>G6/((1+G7)^G3)</f>
        <v>3005844.8416833733</v>
      </c>
      <c r="H9" s="357"/>
    </row>
    <row r="11" spans="3:8" x14ac:dyDescent="0.3">
      <c r="C11" t="s">
        <v>506</v>
      </c>
      <c r="D11" s="8">
        <v>0.02</v>
      </c>
      <c r="E11" s="8"/>
      <c r="F11" s="13"/>
    </row>
    <row r="12" spans="3:8" x14ac:dyDescent="0.3">
      <c r="C12" t="s">
        <v>504</v>
      </c>
      <c r="D12" s="10">
        <f>SUM(D9:H9)</f>
        <v>9872507.3999992311</v>
      </c>
    </row>
    <row r="13" spans="3:8" x14ac:dyDescent="0.3">
      <c r="C13" t="s">
        <v>503</v>
      </c>
      <c r="D13" s="10">
        <f>H6/(H7-D11)*G8</f>
        <v>60461475.404205881</v>
      </c>
      <c r="E13" s="355"/>
      <c r="F13" s="355"/>
    </row>
    <row r="14" spans="3:8" x14ac:dyDescent="0.3">
      <c r="C14" t="s">
        <v>505</v>
      </c>
      <c r="D14" s="10">
        <f>SUM(D12:D13)</f>
        <v>70333982.80420512</v>
      </c>
    </row>
    <row r="15" spans="3:8" x14ac:dyDescent="0.3">
      <c r="C15" t="s">
        <v>448</v>
      </c>
      <c r="D15" s="3">
        <f>-'Balance Sheet'!AJ42</f>
        <v>-5016747</v>
      </c>
    </row>
    <row r="16" spans="3:8" x14ac:dyDescent="0.3">
      <c r="C16" t="s">
        <v>447</v>
      </c>
      <c r="D16" s="306">
        <f>SUM(D14:D15)*1000</f>
        <v>65317235804.205116</v>
      </c>
    </row>
    <row r="17" spans="3:7" x14ac:dyDescent="0.3">
      <c r="C17" t="s">
        <v>433</v>
      </c>
      <c r="D17" s="3">
        <f>'Vekst og lønnsomhet'!$Q$43</f>
        <v>117799999</v>
      </c>
    </row>
    <row r="18" spans="3:7" x14ac:dyDescent="0.3">
      <c r="C18" s="2" t="s">
        <v>449</v>
      </c>
      <c r="D18" s="332">
        <f>(D16/D17)</f>
        <v>554.47569065094069</v>
      </c>
    </row>
    <row r="19" spans="3:7" x14ac:dyDescent="0.3">
      <c r="C19" t="s">
        <v>457</v>
      </c>
      <c r="D19" s="331">
        <v>607.4</v>
      </c>
    </row>
    <row r="22" spans="3:7" ht="14.4" customHeight="1" x14ac:dyDescent="0.3"/>
    <row r="23" spans="3:7" ht="14.4" customHeight="1" x14ac:dyDescent="0.3"/>
    <row r="24" spans="3:7" ht="14.4" customHeight="1" x14ac:dyDescent="0.3">
      <c r="C24" s="314"/>
      <c r="D24" s="311" t="str">
        <f>D5</f>
        <v>2022e</v>
      </c>
      <c r="E24" s="311" t="str">
        <f t="shared" ref="E24:G24" si="0">E5</f>
        <v>2023e</v>
      </c>
      <c r="F24" s="311" t="str">
        <f t="shared" si="0"/>
        <v>2024e</v>
      </c>
      <c r="G24" s="311" t="str">
        <f t="shared" si="0"/>
        <v>2025e</v>
      </c>
    </row>
    <row r="25" spans="3:7" ht="14.4" customHeight="1" x14ac:dyDescent="0.3">
      <c r="C25" s="2" t="s">
        <v>0</v>
      </c>
      <c r="D25" s="19">
        <f>'Income Statement'!Q23</f>
        <v>3812978.8656355608</v>
      </c>
      <c r="E25" s="19">
        <f>'Income Statement'!R23</f>
        <v>3606434.8579993928</v>
      </c>
      <c r="F25" s="19">
        <f>'Income Statement'!S23</f>
        <v>3684964.1080714548</v>
      </c>
      <c r="G25" s="19">
        <f>'Income Statement'!T23</f>
        <v>3615220.3529817974</v>
      </c>
    </row>
    <row r="26" spans="3:7" x14ac:dyDescent="0.3">
      <c r="C26" s="59" t="s">
        <v>402</v>
      </c>
      <c r="D26" s="3">
        <f>'Income Statement'!AE22</f>
        <v>1072726.7070951653</v>
      </c>
      <c r="E26" s="3">
        <f>'Income Statement'!AF22</f>
        <v>1177052.8015942702</v>
      </c>
      <c r="F26" s="3">
        <f>'Income Statement'!AG22</f>
        <v>1291524.941606597</v>
      </c>
      <c r="G26" s="3">
        <f>'Income Statement'!AH22</f>
        <v>1417129.8624264228</v>
      </c>
    </row>
    <row r="27" spans="3:7" x14ac:dyDescent="0.3">
      <c r="C27" t="s">
        <v>395</v>
      </c>
      <c r="D27" s="3">
        <f>'Income Statement'!AE23</f>
        <v>6707.166666666667</v>
      </c>
      <c r="E27" s="3">
        <f>'Income Statement'!AF23</f>
        <v>6707.166666666667</v>
      </c>
      <c r="F27" s="3">
        <f>'Income Statement'!AG23</f>
        <v>6707.166666666667</v>
      </c>
      <c r="G27" s="3">
        <f>'Income Statement'!AH23</f>
        <v>6707.166666666667</v>
      </c>
    </row>
    <row r="28" spans="3:7" x14ac:dyDescent="0.3">
      <c r="C28" s="59" t="s">
        <v>455</v>
      </c>
      <c r="D28" s="3">
        <f>'Income Statement'!AE24</f>
        <v>991398.85324497614</v>
      </c>
      <c r="E28" s="3">
        <f>'Income Statement'!AF24</f>
        <v>3366686.0692429198</v>
      </c>
      <c r="F28" s="3">
        <f>'Income Statement'!AG24</f>
        <v>436202.57430149987</v>
      </c>
      <c r="G28" s="3">
        <f>'Income Statement'!AH24</f>
        <v>59444.770250389352</v>
      </c>
    </row>
    <row r="29" spans="3:7" x14ac:dyDescent="0.3">
      <c r="C29" s="59" t="s">
        <v>456</v>
      </c>
      <c r="D29" s="3">
        <f>'Income Statement'!AE25</f>
        <v>228153.65240114182</v>
      </c>
      <c r="E29" s="3">
        <f>'Income Statement'!AF25</f>
        <v>854763.32841245644</v>
      </c>
      <c r="F29" s="3">
        <f>'Income Statement'!AG25</f>
        <v>937891.78898355737</v>
      </c>
      <c r="G29" s="3">
        <f>'Income Statement'!AH25</f>
        <v>1029104.7575432677</v>
      </c>
    </row>
    <row r="30" spans="3:7" ht="15.6" x14ac:dyDescent="0.3">
      <c r="C30" s="57" t="s">
        <v>446</v>
      </c>
      <c r="D30" s="19">
        <f>D25+D26+D27-D28-D29</f>
        <v>3672860.2337512746</v>
      </c>
      <c r="E30" s="19">
        <f t="shared" ref="E30:G30" si="1">E25+E26+E27-E28-E29</f>
        <v>568745.42860495392</v>
      </c>
      <c r="F30" s="19">
        <f t="shared" si="1"/>
        <v>3609101.8530596616</v>
      </c>
      <c r="G30" s="19">
        <f t="shared" si="1"/>
        <v>3950507.8542812299</v>
      </c>
    </row>
    <row r="36" spans="4:7" x14ac:dyDescent="0.3">
      <c r="D36" s="3"/>
      <c r="E36" s="3"/>
      <c r="F36" s="3"/>
      <c r="G36" s="3"/>
    </row>
    <row r="37" spans="4:7" x14ac:dyDescent="0.3">
      <c r="D37" s="3"/>
      <c r="E37" s="3"/>
      <c r="F37" s="3"/>
      <c r="G37" s="3"/>
    </row>
    <row r="38" spans="4:7" x14ac:dyDescent="0.3">
      <c r="D38" s="3"/>
      <c r="E38" s="3"/>
      <c r="F38" s="3"/>
      <c r="G38" s="3"/>
    </row>
    <row r="39" spans="4:7" x14ac:dyDescent="0.3">
      <c r="D39" s="3"/>
      <c r="E39" s="3"/>
      <c r="F39" s="3"/>
      <c r="G39" s="3"/>
    </row>
    <row r="48" spans="4:7" x14ac:dyDescent="0.3">
      <c r="D48" s="3"/>
      <c r="E48" s="3"/>
      <c r="F48" s="3"/>
      <c r="G48" s="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5A67F-7A0A-420A-A99E-484436F0F9B5}">
  <dimension ref="A1:I4031"/>
  <sheetViews>
    <sheetView showGridLines="0" zoomScale="106" zoomScaleNormal="156" workbookViewId="0">
      <selection activeCell="I10" sqref="I10"/>
    </sheetView>
  </sheetViews>
  <sheetFormatPr defaultRowHeight="15.6" x14ac:dyDescent="0.3"/>
  <cols>
    <col min="1" max="1" width="13.33203125" style="333" customWidth="1"/>
    <col min="2" max="2" width="11.33203125" customWidth="1"/>
    <col min="3" max="3" width="16.109375" style="334" customWidth="1"/>
    <col min="4" max="4" width="11.33203125" customWidth="1"/>
    <col min="5" max="5" width="24.5546875" customWidth="1"/>
    <col min="6" max="6" width="15.6640625" style="348" bestFit="1" customWidth="1"/>
    <col min="8" max="8" width="19.5546875" bestFit="1" customWidth="1"/>
    <col min="9" max="9" width="8.21875" bestFit="1" customWidth="1"/>
    <col min="10" max="10" width="9.33203125" bestFit="1" customWidth="1"/>
  </cols>
  <sheetData>
    <row r="1" spans="1:9" x14ac:dyDescent="0.3">
      <c r="A1" s="333" t="s">
        <v>228</v>
      </c>
      <c r="B1" t="s">
        <v>466</v>
      </c>
      <c r="C1" s="334" t="s">
        <v>467</v>
      </c>
    </row>
    <row r="2" spans="1:9" x14ac:dyDescent="0.3">
      <c r="A2" s="335">
        <v>39210</v>
      </c>
      <c r="B2">
        <v>21.216373000000001</v>
      </c>
    </row>
    <row r="3" spans="1:9" x14ac:dyDescent="0.3">
      <c r="A3" s="335">
        <v>39211</v>
      </c>
      <c r="B3">
        <v>21.542777999999998</v>
      </c>
      <c r="C3" s="334">
        <f>(B3-B2)/B2</f>
        <v>1.5384580578405065E-2</v>
      </c>
      <c r="E3" s="314" t="s">
        <v>482</v>
      </c>
      <c r="F3" s="349"/>
      <c r="H3" s="314" t="s">
        <v>481</v>
      </c>
      <c r="I3" s="312"/>
    </row>
    <row r="4" spans="1:9" x14ac:dyDescent="0.3">
      <c r="A4" s="335">
        <v>39212</v>
      </c>
      <c r="B4">
        <v>21.70598</v>
      </c>
      <c r="C4" s="334">
        <f t="shared" ref="C4:C67" si="0">(B4-B3)/B3</f>
        <v>7.5757174863892605E-3</v>
      </c>
      <c r="E4" s="343" t="s">
        <v>468</v>
      </c>
      <c r="F4" s="346">
        <f>_xlfn.STDEV.S(C3:C153)</f>
        <v>8.2724648857173941E-2</v>
      </c>
      <c r="H4" t="s">
        <v>451</v>
      </c>
      <c r="I4" s="341">
        <v>-0.13120000000000001</v>
      </c>
    </row>
    <row r="5" spans="1:9" x14ac:dyDescent="0.3">
      <c r="A5" s="335">
        <v>39213</v>
      </c>
      <c r="B5">
        <v>21.270772999999998</v>
      </c>
      <c r="C5" s="334">
        <f t="shared" si="0"/>
        <v>-2.0050096793602586E-2</v>
      </c>
      <c r="E5" t="s">
        <v>469</v>
      </c>
      <c r="F5" s="348">
        <f>Multipler!C7</f>
        <v>476.31918927105801</v>
      </c>
      <c r="H5" t="s">
        <v>452</v>
      </c>
      <c r="I5" s="341">
        <v>0.14380000000000001</v>
      </c>
    </row>
    <row r="6" spans="1:9" x14ac:dyDescent="0.3">
      <c r="A6" s="335">
        <v>39216</v>
      </c>
      <c r="B6">
        <v>21.161974000000001</v>
      </c>
      <c r="C6" s="334">
        <f t="shared" si="0"/>
        <v>-5.1149528040188132E-3</v>
      </c>
      <c r="E6" t="s">
        <v>470</v>
      </c>
      <c r="F6" s="348">
        <f>Multipler!C24</f>
        <v>390.95</v>
      </c>
      <c r="H6" t="s">
        <v>477</v>
      </c>
      <c r="I6" s="341">
        <v>0.47560000000000002</v>
      </c>
    </row>
    <row r="7" spans="1:9" x14ac:dyDescent="0.3">
      <c r="A7" s="335">
        <v>39217</v>
      </c>
      <c r="B7">
        <v>21.107572999999999</v>
      </c>
      <c r="C7" s="334">
        <f t="shared" si="0"/>
        <v>-2.5706959095593888E-3</v>
      </c>
      <c r="E7" t="s">
        <v>471</v>
      </c>
      <c r="F7" s="348">
        <f>Multipler!J11</f>
        <v>534.89620977957554</v>
      </c>
      <c r="H7" t="s">
        <v>478</v>
      </c>
      <c r="I7" s="341">
        <v>0.52170000000000005</v>
      </c>
    </row>
    <row r="8" spans="1:9" x14ac:dyDescent="0.3">
      <c r="A8" s="335">
        <v>39218</v>
      </c>
      <c r="B8">
        <v>20.944365999999999</v>
      </c>
      <c r="C8" s="334">
        <f t="shared" si="0"/>
        <v>-7.7321537630119716E-3</v>
      </c>
      <c r="E8" t="s">
        <v>472</v>
      </c>
      <c r="F8" s="348">
        <f>Multipler!J27</f>
        <v>475.76864149244511</v>
      </c>
      <c r="H8" t="s">
        <v>476</v>
      </c>
      <c r="I8" s="342">
        <v>367.7</v>
      </c>
    </row>
    <row r="9" spans="1:9" x14ac:dyDescent="0.3">
      <c r="A9" s="335">
        <v>39220</v>
      </c>
      <c r="B9">
        <v>21.161974000000001</v>
      </c>
      <c r="C9" s="334">
        <f t="shared" si="0"/>
        <v>1.0389810796851145E-2</v>
      </c>
      <c r="E9" s="15" t="s">
        <v>513</v>
      </c>
      <c r="F9" s="367">
        <f>AVERAGE(F5:F8)</f>
        <v>469.48351013576962</v>
      </c>
      <c r="H9" t="s">
        <v>480</v>
      </c>
      <c r="I9" s="342">
        <v>708.5</v>
      </c>
    </row>
    <row r="10" spans="1:9" x14ac:dyDescent="0.3">
      <c r="A10" s="335">
        <v>39223</v>
      </c>
      <c r="B10">
        <v>21.161974000000001</v>
      </c>
      <c r="C10" s="334">
        <f t="shared" si="0"/>
        <v>0</v>
      </c>
      <c r="E10" t="s">
        <v>473</v>
      </c>
      <c r="F10" s="348">
        <f>'Fundamental verdsettelse'!D18</f>
        <v>554.47569065094069</v>
      </c>
      <c r="H10" s="344" t="s">
        <v>425</v>
      </c>
      <c r="I10" s="345">
        <v>511.9</v>
      </c>
    </row>
    <row r="11" spans="1:9" x14ac:dyDescent="0.3">
      <c r="A11" s="335">
        <v>39224</v>
      </c>
      <c r="B11">
        <v>21.216373000000001</v>
      </c>
      <c r="C11" s="334">
        <f t="shared" si="0"/>
        <v>2.5706014004175642E-3</v>
      </c>
      <c r="E11" s="2" t="s">
        <v>474</v>
      </c>
      <c r="F11" s="350">
        <f>AVERAGE(F9:F10)</f>
        <v>511.97960039335516</v>
      </c>
      <c r="H11" t="s">
        <v>479</v>
      </c>
      <c r="I11">
        <v>509.4</v>
      </c>
    </row>
    <row r="12" spans="1:9" x14ac:dyDescent="0.3">
      <c r="A12" s="335">
        <v>39225</v>
      </c>
      <c r="B12">
        <v>21.216373000000001</v>
      </c>
      <c r="C12" s="334">
        <f t="shared" si="0"/>
        <v>0</v>
      </c>
      <c r="E12" s="221" t="s">
        <v>475</v>
      </c>
      <c r="F12" s="347">
        <f>'Vekst og lønnsomhet'!T11</f>
        <v>7.3268555384632089E-2</v>
      </c>
    </row>
    <row r="13" spans="1:9" x14ac:dyDescent="0.3">
      <c r="A13" s="335">
        <v>39226</v>
      </c>
      <c r="B13">
        <v>20.998771999999999</v>
      </c>
      <c r="C13" s="334">
        <f t="shared" si="0"/>
        <v>-1.0256277074314347E-2</v>
      </c>
    </row>
    <row r="14" spans="1:9" x14ac:dyDescent="0.3">
      <c r="A14" s="335">
        <v>39227</v>
      </c>
      <c r="B14">
        <v>21.379574000000002</v>
      </c>
      <c r="C14" s="334">
        <f t="shared" si="0"/>
        <v>1.813448900726208E-2</v>
      </c>
    </row>
    <row r="15" spans="1:9" x14ac:dyDescent="0.3">
      <c r="A15" s="335">
        <v>39231</v>
      </c>
      <c r="B15">
        <v>21.379574000000002</v>
      </c>
      <c r="C15" s="334">
        <f t="shared" si="0"/>
        <v>0</v>
      </c>
    </row>
    <row r="16" spans="1:9" x14ac:dyDescent="0.3">
      <c r="A16" s="335">
        <v>39232</v>
      </c>
      <c r="B16">
        <v>21.216373000000001</v>
      </c>
      <c r="C16" s="334">
        <f t="shared" si="0"/>
        <v>-7.6335010229858094E-3</v>
      </c>
    </row>
    <row r="17" spans="1:3" x14ac:dyDescent="0.3">
      <c r="A17" s="335">
        <v>39233</v>
      </c>
      <c r="B17">
        <v>21.107572999999999</v>
      </c>
      <c r="C17" s="334">
        <f t="shared" si="0"/>
        <v>-5.1281149704524064E-3</v>
      </c>
    </row>
    <row r="18" spans="1:3" x14ac:dyDescent="0.3">
      <c r="A18" s="335">
        <v>39234</v>
      </c>
      <c r="B18">
        <v>20.998771999999999</v>
      </c>
      <c r="C18" s="334">
        <f t="shared" si="0"/>
        <v>-5.154595462017339E-3</v>
      </c>
    </row>
    <row r="19" spans="1:3" x14ac:dyDescent="0.3">
      <c r="A19" s="335">
        <v>39237</v>
      </c>
      <c r="B19">
        <v>20.672363000000001</v>
      </c>
      <c r="C19" s="334">
        <f t="shared" si="0"/>
        <v>-1.554419467957451E-2</v>
      </c>
    </row>
    <row r="20" spans="1:3" x14ac:dyDescent="0.3">
      <c r="A20" s="335">
        <v>39238</v>
      </c>
      <c r="B20">
        <v>20.509160999999999</v>
      </c>
      <c r="C20" s="334">
        <f t="shared" si="0"/>
        <v>-7.8946949606100592E-3</v>
      </c>
    </row>
    <row r="21" spans="1:3" x14ac:dyDescent="0.3">
      <c r="A21" s="335">
        <v>39239</v>
      </c>
      <c r="B21">
        <v>20.291557000000001</v>
      </c>
      <c r="C21" s="334">
        <f t="shared" si="0"/>
        <v>-1.0610087852935473E-2</v>
      </c>
    </row>
    <row r="22" spans="1:3" x14ac:dyDescent="0.3">
      <c r="A22" s="335">
        <v>39240</v>
      </c>
      <c r="B22">
        <v>19.910751000000001</v>
      </c>
      <c r="C22" s="334">
        <f t="shared" si="0"/>
        <v>-1.876672154827743E-2</v>
      </c>
    </row>
    <row r="23" spans="1:3" x14ac:dyDescent="0.3">
      <c r="A23" s="335">
        <v>39241</v>
      </c>
      <c r="B23">
        <v>20.291557000000001</v>
      </c>
      <c r="C23" s="334">
        <f t="shared" si="0"/>
        <v>1.9125647244546413E-2</v>
      </c>
    </row>
    <row r="24" spans="1:3" x14ac:dyDescent="0.3">
      <c r="A24" s="335">
        <v>39244</v>
      </c>
      <c r="B24">
        <v>20.400358000000001</v>
      </c>
      <c r="C24" s="334">
        <f t="shared" si="0"/>
        <v>5.3618852412360323E-3</v>
      </c>
    </row>
    <row r="25" spans="1:3" x14ac:dyDescent="0.3">
      <c r="A25" s="335">
        <v>39245</v>
      </c>
      <c r="B25">
        <v>20.400358000000001</v>
      </c>
      <c r="C25" s="334">
        <f t="shared" si="0"/>
        <v>0</v>
      </c>
    </row>
    <row r="26" spans="1:3" x14ac:dyDescent="0.3">
      <c r="A26" s="335">
        <v>39246</v>
      </c>
      <c r="B26">
        <v>20.781165999999999</v>
      </c>
      <c r="C26" s="334">
        <f t="shared" si="0"/>
        <v>1.8666731240696767E-2</v>
      </c>
    </row>
    <row r="27" spans="1:3" x14ac:dyDescent="0.3">
      <c r="A27" s="335">
        <v>39247</v>
      </c>
      <c r="B27">
        <v>20.835567000000001</v>
      </c>
      <c r="C27" s="334">
        <f t="shared" si="0"/>
        <v>2.6178030626386483E-3</v>
      </c>
    </row>
    <row r="28" spans="1:3" x14ac:dyDescent="0.3">
      <c r="A28" s="335">
        <v>39248</v>
      </c>
      <c r="B28">
        <v>20.672363000000001</v>
      </c>
      <c r="C28" s="334">
        <f t="shared" si="0"/>
        <v>-7.8329521821988504E-3</v>
      </c>
    </row>
    <row r="29" spans="1:3" x14ac:dyDescent="0.3">
      <c r="A29" s="335">
        <v>39251</v>
      </c>
      <c r="B29">
        <v>20.400358000000001</v>
      </c>
      <c r="C29" s="334">
        <f t="shared" si="0"/>
        <v>-1.3157905557289219E-2</v>
      </c>
    </row>
    <row r="30" spans="1:3" x14ac:dyDescent="0.3">
      <c r="A30" s="335">
        <v>39252</v>
      </c>
      <c r="B30">
        <v>20.617965999999999</v>
      </c>
      <c r="C30" s="334">
        <f t="shared" si="0"/>
        <v>1.066687163038994E-2</v>
      </c>
    </row>
    <row r="31" spans="1:3" x14ac:dyDescent="0.3">
      <c r="A31" s="335">
        <v>39253</v>
      </c>
      <c r="B31">
        <v>20.672363000000001</v>
      </c>
      <c r="C31" s="334">
        <f t="shared" si="0"/>
        <v>2.6383300855186971E-3</v>
      </c>
    </row>
    <row r="32" spans="1:3" x14ac:dyDescent="0.3">
      <c r="A32" s="335">
        <v>39254</v>
      </c>
      <c r="B32">
        <v>20.672363000000001</v>
      </c>
      <c r="C32" s="334">
        <f t="shared" si="0"/>
        <v>0</v>
      </c>
    </row>
    <row r="33" spans="1:3" x14ac:dyDescent="0.3">
      <c r="A33" s="335">
        <v>39255</v>
      </c>
      <c r="B33">
        <v>20.672363000000001</v>
      </c>
      <c r="C33" s="334">
        <f t="shared" si="0"/>
        <v>0</v>
      </c>
    </row>
    <row r="34" spans="1:3" x14ac:dyDescent="0.3">
      <c r="A34" s="335">
        <v>39258</v>
      </c>
      <c r="B34">
        <v>20.672363000000001</v>
      </c>
      <c r="C34" s="334">
        <f t="shared" si="0"/>
        <v>0</v>
      </c>
    </row>
    <row r="35" spans="1:3" x14ac:dyDescent="0.3">
      <c r="A35" s="335">
        <v>39259</v>
      </c>
      <c r="B35">
        <v>20.889969000000001</v>
      </c>
      <c r="C35" s="334">
        <f t="shared" si="0"/>
        <v>1.0526421193358493E-2</v>
      </c>
    </row>
    <row r="36" spans="1:3" x14ac:dyDescent="0.3">
      <c r="A36" s="335">
        <v>39260</v>
      </c>
      <c r="B36">
        <v>20.998771999999999</v>
      </c>
      <c r="C36" s="334">
        <f t="shared" si="0"/>
        <v>5.2083849430316631E-3</v>
      </c>
    </row>
    <row r="37" spans="1:3" x14ac:dyDescent="0.3">
      <c r="A37" s="335">
        <v>39261</v>
      </c>
      <c r="B37">
        <v>20.998771999999999</v>
      </c>
      <c r="C37" s="334">
        <f t="shared" si="0"/>
        <v>0</v>
      </c>
    </row>
    <row r="38" spans="1:3" x14ac:dyDescent="0.3">
      <c r="A38" s="335">
        <v>39262</v>
      </c>
      <c r="B38">
        <v>21.488379999999999</v>
      </c>
      <c r="C38" s="334">
        <f t="shared" si="0"/>
        <v>2.3316030099283926E-2</v>
      </c>
    </row>
    <row r="39" spans="1:3" x14ac:dyDescent="0.3">
      <c r="A39" s="335">
        <v>39265</v>
      </c>
      <c r="B39">
        <v>21.216373000000001</v>
      </c>
      <c r="C39" s="334">
        <f t="shared" si="0"/>
        <v>-1.2658329757757382E-2</v>
      </c>
    </row>
    <row r="40" spans="1:3" x14ac:dyDescent="0.3">
      <c r="A40" s="335">
        <v>39266</v>
      </c>
      <c r="B40">
        <v>21.216373000000001</v>
      </c>
      <c r="C40" s="334">
        <f t="shared" si="0"/>
        <v>0</v>
      </c>
    </row>
    <row r="41" spans="1:3" x14ac:dyDescent="0.3">
      <c r="A41" s="335">
        <v>39267</v>
      </c>
      <c r="B41">
        <v>20.509160999999999</v>
      </c>
      <c r="C41" s="334">
        <f t="shared" si="0"/>
        <v>-3.3333312908855904E-2</v>
      </c>
    </row>
    <row r="42" spans="1:3" x14ac:dyDescent="0.3">
      <c r="A42" s="335">
        <v>39268</v>
      </c>
      <c r="B42">
        <v>21.433975</v>
      </c>
      <c r="C42" s="334">
        <f t="shared" si="0"/>
        <v>4.5092727098880417E-2</v>
      </c>
    </row>
    <row r="43" spans="1:3" x14ac:dyDescent="0.3">
      <c r="A43" s="335">
        <v>39269</v>
      </c>
      <c r="B43">
        <v>21.760380000000001</v>
      </c>
      <c r="C43" s="334">
        <f t="shared" si="0"/>
        <v>1.5228393240171324E-2</v>
      </c>
    </row>
    <row r="44" spans="1:3" x14ac:dyDescent="0.3">
      <c r="A44" s="335">
        <v>39272</v>
      </c>
      <c r="B44">
        <v>21.760380000000001</v>
      </c>
      <c r="C44" s="334">
        <f t="shared" si="0"/>
        <v>0</v>
      </c>
    </row>
    <row r="45" spans="1:3" x14ac:dyDescent="0.3">
      <c r="A45" s="335">
        <v>39273</v>
      </c>
      <c r="B45">
        <v>21.542777999999998</v>
      </c>
      <c r="C45" s="334">
        <f t="shared" si="0"/>
        <v>-9.9999172808564445E-3</v>
      </c>
    </row>
    <row r="46" spans="1:3" x14ac:dyDescent="0.3">
      <c r="A46" s="335">
        <v>39274</v>
      </c>
      <c r="B46">
        <v>21.216373000000001</v>
      </c>
      <c r="C46" s="334">
        <f t="shared" si="0"/>
        <v>-1.5151481392046914E-2</v>
      </c>
    </row>
    <row r="47" spans="1:3" x14ac:dyDescent="0.3">
      <c r="A47" s="335">
        <v>39275</v>
      </c>
      <c r="B47">
        <v>21.216373000000001</v>
      </c>
      <c r="C47" s="334">
        <f t="shared" si="0"/>
        <v>0</v>
      </c>
    </row>
    <row r="48" spans="1:3" x14ac:dyDescent="0.3">
      <c r="A48" s="335">
        <v>39276</v>
      </c>
      <c r="B48">
        <v>21.325175999999999</v>
      </c>
      <c r="C48" s="334">
        <f t="shared" si="0"/>
        <v>5.1282563706811814E-3</v>
      </c>
    </row>
    <row r="49" spans="1:3" x14ac:dyDescent="0.3">
      <c r="A49" s="335">
        <v>39279</v>
      </c>
      <c r="B49">
        <v>21.216373000000001</v>
      </c>
      <c r="C49" s="334">
        <f t="shared" si="0"/>
        <v>-5.1020915372514729E-3</v>
      </c>
    </row>
    <row r="50" spans="1:3" x14ac:dyDescent="0.3">
      <c r="A50" s="335">
        <v>39280</v>
      </c>
      <c r="B50">
        <v>21.379574000000002</v>
      </c>
      <c r="C50" s="334">
        <f t="shared" si="0"/>
        <v>7.6922195890881447E-3</v>
      </c>
    </row>
    <row r="51" spans="1:3" x14ac:dyDescent="0.3">
      <c r="A51" s="335">
        <v>39281</v>
      </c>
      <c r="B51">
        <v>21.597178</v>
      </c>
      <c r="C51" s="334">
        <f t="shared" si="0"/>
        <v>1.0178126093625528E-2</v>
      </c>
    </row>
    <row r="52" spans="1:3" x14ac:dyDescent="0.3">
      <c r="A52" s="335">
        <v>39282</v>
      </c>
      <c r="B52">
        <v>21.760380000000001</v>
      </c>
      <c r="C52" s="334">
        <f t="shared" si="0"/>
        <v>7.5566354085705939E-3</v>
      </c>
    </row>
    <row r="53" spans="1:3" x14ac:dyDescent="0.3">
      <c r="A53" s="335">
        <v>39283</v>
      </c>
      <c r="B53">
        <v>21.869183</v>
      </c>
      <c r="C53" s="334">
        <f t="shared" si="0"/>
        <v>5.0000505505877289E-3</v>
      </c>
    </row>
    <row r="54" spans="1:3" x14ac:dyDescent="0.3">
      <c r="A54" s="335">
        <v>39286</v>
      </c>
      <c r="B54">
        <v>21.869183</v>
      </c>
      <c r="C54" s="334">
        <f t="shared" si="0"/>
        <v>0</v>
      </c>
    </row>
    <row r="55" spans="1:3" x14ac:dyDescent="0.3">
      <c r="A55" s="335">
        <v>39287</v>
      </c>
      <c r="B55">
        <v>21.814776999999999</v>
      </c>
      <c r="C55" s="334">
        <f t="shared" si="0"/>
        <v>-2.487792982481338E-3</v>
      </c>
    </row>
    <row r="56" spans="1:3" x14ac:dyDescent="0.3">
      <c r="A56" s="335">
        <v>39288</v>
      </c>
      <c r="B56">
        <v>21.597178</v>
      </c>
      <c r="C56" s="334">
        <f t="shared" si="0"/>
        <v>-9.9748441159861444E-3</v>
      </c>
    </row>
    <row r="57" spans="1:3" x14ac:dyDescent="0.3">
      <c r="A57" s="335">
        <v>39289</v>
      </c>
      <c r="B57">
        <v>21.542777999999998</v>
      </c>
      <c r="C57" s="334">
        <f t="shared" si="0"/>
        <v>-2.5188476012931466E-3</v>
      </c>
    </row>
    <row r="58" spans="1:3" x14ac:dyDescent="0.3">
      <c r="A58" s="335">
        <v>39290</v>
      </c>
      <c r="B58">
        <v>21.216373000000001</v>
      </c>
      <c r="C58" s="334">
        <f t="shared" si="0"/>
        <v>-1.5151481392046914E-2</v>
      </c>
    </row>
    <row r="59" spans="1:3" x14ac:dyDescent="0.3">
      <c r="A59" s="335">
        <v>39293</v>
      </c>
      <c r="B59">
        <v>21.216373000000001</v>
      </c>
      <c r="C59" s="334">
        <f t="shared" si="0"/>
        <v>0</v>
      </c>
    </row>
    <row r="60" spans="1:3" x14ac:dyDescent="0.3">
      <c r="A60" s="335">
        <v>39294</v>
      </c>
      <c r="B60">
        <v>21.760380000000001</v>
      </c>
      <c r="C60" s="334">
        <f t="shared" si="0"/>
        <v>2.5640904786129116E-2</v>
      </c>
    </row>
    <row r="61" spans="1:3" x14ac:dyDescent="0.3">
      <c r="A61" s="335">
        <v>39295</v>
      </c>
      <c r="B61">
        <v>21.216373000000001</v>
      </c>
      <c r="C61" s="334">
        <f t="shared" si="0"/>
        <v>-2.4999885112300453E-2</v>
      </c>
    </row>
    <row r="62" spans="1:3" x14ac:dyDescent="0.3">
      <c r="A62" s="335">
        <v>39296</v>
      </c>
      <c r="B62">
        <v>21.270772999999998</v>
      </c>
      <c r="C62" s="334">
        <f t="shared" si="0"/>
        <v>2.5640574852260354E-3</v>
      </c>
    </row>
    <row r="63" spans="1:3" x14ac:dyDescent="0.3">
      <c r="A63" s="335">
        <v>39297</v>
      </c>
      <c r="B63">
        <v>21.216373000000001</v>
      </c>
      <c r="C63" s="334">
        <f t="shared" si="0"/>
        <v>-2.5574999084423291E-3</v>
      </c>
    </row>
    <row r="64" spans="1:3" x14ac:dyDescent="0.3">
      <c r="A64" s="335">
        <v>39300</v>
      </c>
      <c r="B64">
        <v>20.889969000000001</v>
      </c>
      <c r="C64" s="334">
        <f t="shared" si="0"/>
        <v>-1.5384533444995529E-2</v>
      </c>
    </row>
    <row r="65" spans="1:3" x14ac:dyDescent="0.3">
      <c r="A65" s="335">
        <v>39301</v>
      </c>
      <c r="B65">
        <v>21.651579000000002</v>
      </c>
      <c r="C65" s="334">
        <f t="shared" si="0"/>
        <v>3.6458168032705122E-2</v>
      </c>
    </row>
    <row r="66" spans="1:3" x14ac:dyDescent="0.3">
      <c r="A66" s="335">
        <v>39302</v>
      </c>
      <c r="B66">
        <v>22.304390000000001</v>
      </c>
      <c r="C66" s="334">
        <f t="shared" si="0"/>
        <v>3.0150734041152368E-2</v>
      </c>
    </row>
    <row r="67" spans="1:3" x14ac:dyDescent="0.3">
      <c r="A67" s="335">
        <v>39303</v>
      </c>
      <c r="B67">
        <v>22.576392999999999</v>
      </c>
      <c r="C67" s="334">
        <f t="shared" si="0"/>
        <v>1.219504321794938E-2</v>
      </c>
    </row>
    <row r="68" spans="1:3" x14ac:dyDescent="0.3">
      <c r="A68" s="335">
        <v>39304</v>
      </c>
      <c r="B68">
        <v>22.032388999999998</v>
      </c>
      <c r="C68" s="334">
        <f t="shared" ref="C68:C131" si="1">(B68-B67)/B67</f>
        <v>-2.4096143259022866E-2</v>
      </c>
    </row>
    <row r="69" spans="1:3" x14ac:dyDescent="0.3">
      <c r="A69" s="335">
        <v>39307</v>
      </c>
      <c r="B69">
        <v>22.521992000000001</v>
      </c>
      <c r="C69" s="334">
        <f t="shared" si="1"/>
        <v>2.2221966033733449E-2</v>
      </c>
    </row>
    <row r="70" spans="1:3" x14ac:dyDescent="0.3">
      <c r="A70" s="335">
        <v>39308</v>
      </c>
      <c r="B70">
        <v>22.032388999999998</v>
      </c>
      <c r="C70" s="334">
        <f t="shared" si="1"/>
        <v>-2.1738885263790274E-2</v>
      </c>
    </row>
    <row r="71" spans="1:3" x14ac:dyDescent="0.3">
      <c r="A71" s="335">
        <v>39309</v>
      </c>
      <c r="B71">
        <v>21.760380000000001</v>
      </c>
      <c r="C71" s="334">
        <f t="shared" si="1"/>
        <v>-1.2345869528719609E-2</v>
      </c>
    </row>
    <row r="72" spans="1:3" x14ac:dyDescent="0.3">
      <c r="A72" s="335">
        <v>39310</v>
      </c>
      <c r="B72">
        <v>21.488379999999999</v>
      </c>
      <c r="C72" s="334">
        <f t="shared" si="1"/>
        <v>-1.2499781713370905E-2</v>
      </c>
    </row>
    <row r="73" spans="1:3" x14ac:dyDescent="0.3">
      <c r="A73" s="335">
        <v>39311</v>
      </c>
      <c r="B73">
        <v>21.216373000000001</v>
      </c>
      <c r="C73" s="334">
        <f t="shared" si="1"/>
        <v>-1.2658329757757382E-2</v>
      </c>
    </row>
    <row r="74" spans="1:3" x14ac:dyDescent="0.3">
      <c r="A74" s="335">
        <v>39314</v>
      </c>
      <c r="B74">
        <v>21.542777999999998</v>
      </c>
      <c r="C74" s="334">
        <f t="shared" si="1"/>
        <v>1.5384580578405065E-2</v>
      </c>
    </row>
    <row r="75" spans="1:3" x14ac:dyDescent="0.3">
      <c r="A75" s="335">
        <v>39315</v>
      </c>
      <c r="B75">
        <v>21.325175999999999</v>
      </c>
      <c r="C75" s="334">
        <f t="shared" si="1"/>
        <v>-1.0100925702339754E-2</v>
      </c>
    </row>
    <row r="76" spans="1:3" x14ac:dyDescent="0.3">
      <c r="A76" s="335">
        <v>39316</v>
      </c>
      <c r="B76">
        <v>21.70598</v>
      </c>
      <c r="C76" s="334">
        <f t="shared" si="1"/>
        <v>1.785701557633106E-2</v>
      </c>
    </row>
    <row r="77" spans="1:3" x14ac:dyDescent="0.3">
      <c r="A77" s="335">
        <v>39317</v>
      </c>
      <c r="B77">
        <v>21.597178</v>
      </c>
      <c r="C77" s="334">
        <f t="shared" si="1"/>
        <v>-5.0125357159640218E-3</v>
      </c>
    </row>
    <row r="78" spans="1:3" x14ac:dyDescent="0.3">
      <c r="A78" s="335">
        <v>39318</v>
      </c>
      <c r="B78">
        <v>21.488379999999999</v>
      </c>
      <c r="C78" s="334">
        <f t="shared" si="1"/>
        <v>-5.0376025978949735E-3</v>
      </c>
    </row>
    <row r="79" spans="1:3" x14ac:dyDescent="0.3">
      <c r="A79" s="335">
        <v>39321</v>
      </c>
      <c r="B79">
        <v>21.488379999999999</v>
      </c>
      <c r="C79" s="334">
        <f t="shared" si="1"/>
        <v>0</v>
      </c>
    </row>
    <row r="80" spans="1:3" x14ac:dyDescent="0.3">
      <c r="A80" s="335">
        <v>39322</v>
      </c>
      <c r="B80">
        <v>21.379574000000002</v>
      </c>
      <c r="C80" s="334">
        <f t="shared" si="1"/>
        <v>-5.063480820796995E-3</v>
      </c>
    </row>
    <row r="81" spans="1:3" x14ac:dyDescent="0.3">
      <c r="A81" s="335">
        <v>39323</v>
      </c>
      <c r="B81">
        <v>21.597178</v>
      </c>
      <c r="C81" s="334">
        <f t="shared" si="1"/>
        <v>1.0178126093625528E-2</v>
      </c>
    </row>
    <row r="82" spans="1:3" x14ac:dyDescent="0.3">
      <c r="A82" s="335">
        <v>39324</v>
      </c>
      <c r="B82">
        <v>21.869183</v>
      </c>
      <c r="C82" s="334">
        <f t="shared" si="1"/>
        <v>1.2594469518193537E-2</v>
      </c>
    </row>
    <row r="83" spans="1:3" x14ac:dyDescent="0.3">
      <c r="A83" s="335">
        <v>39325</v>
      </c>
      <c r="B83">
        <v>22.032388999999998</v>
      </c>
      <c r="C83" s="334">
        <f t="shared" si="1"/>
        <v>7.4628302301004501E-3</v>
      </c>
    </row>
    <row r="84" spans="1:3" x14ac:dyDescent="0.3">
      <c r="A84" s="335">
        <v>39328</v>
      </c>
      <c r="B84">
        <v>22.902798000000001</v>
      </c>
      <c r="C84" s="334">
        <f t="shared" si="1"/>
        <v>3.950588381495998E-2</v>
      </c>
    </row>
    <row r="85" spans="1:3" x14ac:dyDescent="0.3">
      <c r="A85" s="335">
        <v>39329</v>
      </c>
      <c r="B85">
        <v>22.848396000000001</v>
      </c>
      <c r="C85" s="334">
        <f t="shared" si="1"/>
        <v>-2.3753429602793343E-3</v>
      </c>
    </row>
    <row r="86" spans="1:3" x14ac:dyDescent="0.3">
      <c r="A86" s="335">
        <v>39330</v>
      </c>
      <c r="B86">
        <v>22.032388999999998</v>
      </c>
      <c r="C86" s="334">
        <f t="shared" si="1"/>
        <v>-3.5713973094654107E-2</v>
      </c>
    </row>
    <row r="87" spans="1:3" x14ac:dyDescent="0.3">
      <c r="A87" s="335">
        <v>39331</v>
      </c>
      <c r="B87">
        <v>22.304390000000001</v>
      </c>
      <c r="C87" s="334">
        <f t="shared" si="1"/>
        <v>1.2345506426924609E-2</v>
      </c>
    </row>
    <row r="88" spans="1:3" x14ac:dyDescent="0.3">
      <c r="A88" s="335">
        <v>39332</v>
      </c>
      <c r="B88">
        <v>22.304390000000001</v>
      </c>
      <c r="C88" s="334">
        <f t="shared" si="1"/>
        <v>0</v>
      </c>
    </row>
    <row r="89" spans="1:3" x14ac:dyDescent="0.3">
      <c r="A89" s="335">
        <v>39335</v>
      </c>
      <c r="B89">
        <v>22.141188</v>
      </c>
      <c r="C89" s="334">
        <f t="shared" si="1"/>
        <v>-7.3170348976144082E-3</v>
      </c>
    </row>
    <row r="90" spans="1:3" x14ac:dyDescent="0.3">
      <c r="A90" s="335">
        <v>39336</v>
      </c>
      <c r="B90">
        <v>22.032388999999998</v>
      </c>
      <c r="C90" s="334">
        <f t="shared" si="1"/>
        <v>-4.9138736367714871E-3</v>
      </c>
    </row>
    <row r="91" spans="1:3" x14ac:dyDescent="0.3">
      <c r="A91" s="335">
        <v>39337</v>
      </c>
      <c r="B91">
        <v>22.24999</v>
      </c>
      <c r="C91" s="334">
        <f t="shared" si="1"/>
        <v>9.8764142190845457E-3</v>
      </c>
    </row>
    <row r="92" spans="1:3" x14ac:dyDescent="0.3">
      <c r="A92" s="335">
        <v>39338</v>
      </c>
      <c r="B92">
        <v>22.141188</v>
      </c>
      <c r="C92" s="334">
        <f t="shared" si="1"/>
        <v>-4.8899797258336172E-3</v>
      </c>
    </row>
    <row r="93" spans="1:3" x14ac:dyDescent="0.3">
      <c r="A93" s="335">
        <v>39339</v>
      </c>
      <c r="B93">
        <v>22.304390000000001</v>
      </c>
      <c r="C93" s="334">
        <f t="shared" si="1"/>
        <v>7.3709685315892651E-3</v>
      </c>
    </row>
    <row r="94" spans="1:3" x14ac:dyDescent="0.3">
      <c r="A94" s="335">
        <v>39342</v>
      </c>
      <c r="B94">
        <v>22.848396000000001</v>
      </c>
      <c r="C94" s="334">
        <f t="shared" si="1"/>
        <v>2.4390086435898919E-2</v>
      </c>
    </row>
    <row r="95" spans="1:3" x14ac:dyDescent="0.3">
      <c r="A95" s="335">
        <v>39343</v>
      </c>
      <c r="B95">
        <v>22.848396000000001</v>
      </c>
      <c r="C95" s="334">
        <f t="shared" si="1"/>
        <v>0</v>
      </c>
    </row>
    <row r="96" spans="1:3" x14ac:dyDescent="0.3">
      <c r="A96" s="335">
        <v>39344</v>
      </c>
      <c r="B96">
        <v>22.848396000000001</v>
      </c>
      <c r="C96" s="334">
        <f t="shared" si="1"/>
        <v>0</v>
      </c>
    </row>
    <row r="97" spans="1:3" x14ac:dyDescent="0.3">
      <c r="A97" s="335">
        <v>39345</v>
      </c>
      <c r="B97">
        <v>22.848396000000001</v>
      </c>
      <c r="C97" s="334">
        <f t="shared" si="1"/>
        <v>0</v>
      </c>
    </row>
    <row r="98" spans="1:3" x14ac:dyDescent="0.3">
      <c r="A98" s="335">
        <v>39346</v>
      </c>
      <c r="B98">
        <v>23.120403</v>
      </c>
      <c r="C98" s="334">
        <f t="shared" si="1"/>
        <v>1.1904861943043991E-2</v>
      </c>
    </row>
    <row r="99" spans="1:3" x14ac:dyDescent="0.3">
      <c r="A99" s="335">
        <v>39349</v>
      </c>
      <c r="B99">
        <v>22.848396000000001</v>
      </c>
      <c r="C99" s="334">
        <f t="shared" si="1"/>
        <v>-1.1764803580629566E-2</v>
      </c>
    </row>
    <row r="100" spans="1:3" x14ac:dyDescent="0.3">
      <c r="A100" s="335">
        <v>39350</v>
      </c>
      <c r="B100">
        <v>23.229206000000001</v>
      </c>
      <c r="C100" s="334">
        <f t="shared" si="1"/>
        <v>1.6666815473611377E-2</v>
      </c>
    </row>
    <row r="101" spans="1:3" x14ac:dyDescent="0.3">
      <c r="A101" s="335">
        <v>39351</v>
      </c>
      <c r="B101">
        <v>23.283607</v>
      </c>
      <c r="C101" s="334">
        <f t="shared" si="1"/>
        <v>2.3419224918836481E-3</v>
      </c>
    </row>
    <row r="102" spans="1:3" x14ac:dyDescent="0.3">
      <c r="A102" s="335">
        <v>39352</v>
      </c>
      <c r="B102">
        <v>22.685196000000001</v>
      </c>
      <c r="C102" s="334">
        <f t="shared" si="1"/>
        <v>-2.5700957759680391E-2</v>
      </c>
    </row>
    <row r="103" spans="1:3" x14ac:dyDescent="0.3">
      <c r="A103" s="335">
        <v>39353</v>
      </c>
      <c r="B103">
        <v>23.120403</v>
      </c>
      <c r="C103" s="334">
        <f t="shared" si="1"/>
        <v>1.9184625956063961E-2</v>
      </c>
    </row>
    <row r="104" spans="1:3" x14ac:dyDescent="0.3">
      <c r="A104" s="335">
        <v>39356</v>
      </c>
      <c r="B104">
        <v>22.848396000000001</v>
      </c>
      <c r="C104" s="334">
        <f t="shared" si="1"/>
        <v>-1.1764803580629566E-2</v>
      </c>
    </row>
    <row r="105" spans="1:3" x14ac:dyDescent="0.3">
      <c r="A105" s="335">
        <v>39357</v>
      </c>
      <c r="B105">
        <v>22.848396000000001</v>
      </c>
      <c r="C105" s="334">
        <f t="shared" si="1"/>
        <v>0</v>
      </c>
    </row>
    <row r="106" spans="1:3" x14ac:dyDescent="0.3">
      <c r="A106" s="335">
        <v>39358</v>
      </c>
      <c r="B106">
        <v>23.392408</v>
      </c>
      <c r="C106" s="334">
        <f t="shared" si="1"/>
        <v>2.3809636352591167E-2</v>
      </c>
    </row>
    <row r="107" spans="1:3" x14ac:dyDescent="0.3">
      <c r="A107" s="335">
        <v>39359</v>
      </c>
      <c r="B107">
        <v>23.120403</v>
      </c>
      <c r="C107" s="334">
        <f t="shared" si="1"/>
        <v>-1.1627917912512472E-2</v>
      </c>
    </row>
    <row r="108" spans="1:3" x14ac:dyDescent="0.3">
      <c r="A108" s="335">
        <v>39360</v>
      </c>
      <c r="B108">
        <v>23.392408</v>
      </c>
      <c r="C108" s="334">
        <f t="shared" si="1"/>
        <v>1.1764717076947147E-2</v>
      </c>
    </row>
    <row r="109" spans="1:3" x14ac:dyDescent="0.3">
      <c r="A109" s="335">
        <v>39363</v>
      </c>
      <c r="B109">
        <v>23.338009</v>
      </c>
      <c r="C109" s="334">
        <f t="shared" si="1"/>
        <v>-2.3254980846777332E-3</v>
      </c>
    </row>
    <row r="110" spans="1:3" x14ac:dyDescent="0.3">
      <c r="A110" s="335">
        <v>39364</v>
      </c>
      <c r="B110">
        <v>22.848396000000001</v>
      </c>
      <c r="C110" s="334">
        <f t="shared" si="1"/>
        <v>-2.0979210351662756E-2</v>
      </c>
    </row>
    <row r="111" spans="1:3" x14ac:dyDescent="0.3">
      <c r="A111" s="335">
        <v>39365</v>
      </c>
      <c r="B111">
        <v>23.338009</v>
      </c>
      <c r="C111" s="334">
        <f t="shared" si="1"/>
        <v>2.1428769004178609E-2</v>
      </c>
    </row>
    <row r="112" spans="1:3" x14ac:dyDescent="0.3">
      <c r="A112" s="335">
        <v>39366</v>
      </c>
      <c r="B112">
        <v>22.902798000000001</v>
      </c>
      <c r="C112" s="334">
        <f t="shared" si="1"/>
        <v>-1.8648163174502113E-2</v>
      </c>
    </row>
    <row r="113" spans="1:3" x14ac:dyDescent="0.3">
      <c r="A113" s="335">
        <v>39367</v>
      </c>
      <c r="B113">
        <v>23.120403</v>
      </c>
      <c r="C113" s="334">
        <f t="shared" si="1"/>
        <v>9.5012408527551488E-3</v>
      </c>
    </row>
    <row r="114" spans="1:3" x14ac:dyDescent="0.3">
      <c r="A114" s="335">
        <v>39370</v>
      </c>
      <c r="B114">
        <v>23.229206000000001</v>
      </c>
      <c r="C114" s="334">
        <f t="shared" si="1"/>
        <v>4.705930082620176E-3</v>
      </c>
    </row>
    <row r="115" spans="1:3" x14ac:dyDescent="0.3">
      <c r="A115" s="335">
        <v>39371</v>
      </c>
      <c r="B115">
        <v>22.902798000000001</v>
      </c>
      <c r="C115" s="334">
        <f t="shared" si="1"/>
        <v>-1.4051621049811202E-2</v>
      </c>
    </row>
    <row r="116" spans="1:3" x14ac:dyDescent="0.3">
      <c r="A116" s="335">
        <v>39372</v>
      </c>
      <c r="B116">
        <v>23.120403</v>
      </c>
      <c r="C116" s="334">
        <f t="shared" si="1"/>
        <v>9.5012408527551488E-3</v>
      </c>
    </row>
    <row r="117" spans="1:3" x14ac:dyDescent="0.3">
      <c r="A117" s="335">
        <v>39373</v>
      </c>
      <c r="B117">
        <v>22.848396000000001</v>
      </c>
      <c r="C117" s="334">
        <f t="shared" si="1"/>
        <v>-1.1764803580629566E-2</v>
      </c>
    </row>
    <row r="118" spans="1:3" x14ac:dyDescent="0.3">
      <c r="A118" s="335">
        <v>39374</v>
      </c>
      <c r="B118">
        <v>23.283607</v>
      </c>
      <c r="C118" s="334">
        <f t="shared" si="1"/>
        <v>1.904777035552075E-2</v>
      </c>
    </row>
    <row r="119" spans="1:3" x14ac:dyDescent="0.3">
      <c r="A119" s="335">
        <v>39377</v>
      </c>
      <c r="B119">
        <v>23.664413</v>
      </c>
      <c r="C119" s="334">
        <f t="shared" si="1"/>
        <v>1.6355111989306458E-2</v>
      </c>
    </row>
    <row r="120" spans="1:3" x14ac:dyDescent="0.3">
      <c r="A120" s="335">
        <v>39378</v>
      </c>
      <c r="B120">
        <v>23.501214999999998</v>
      </c>
      <c r="C120" s="334">
        <f t="shared" si="1"/>
        <v>-6.8963468479020075E-3</v>
      </c>
    </row>
    <row r="121" spans="1:3" x14ac:dyDescent="0.3">
      <c r="A121" s="335">
        <v>39379</v>
      </c>
      <c r="B121">
        <v>23.011600000000001</v>
      </c>
      <c r="C121" s="334">
        <f t="shared" si="1"/>
        <v>-2.0833603709425112E-2</v>
      </c>
    </row>
    <row r="122" spans="1:3" x14ac:dyDescent="0.3">
      <c r="A122" s="335">
        <v>39380</v>
      </c>
      <c r="B122">
        <v>23.011600000000001</v>
      </c>
      <c r="C122" s="334">
        <f t="shared" si="1"/>
        <v>0</v>
      </c>
    </row>
    <row r="123" spans="1:3" x14ac:dyDescent="0.3">
      <c r="A123" s="335">
        <v>39381</v>
      </c>
      <c r="B123">
        <v>23.011600000000001</v>
      </c>
      <c r="C123" s="334">
        <f t="shared" si="1"/>
        <v>0</v>
      </c>
    </row>
    <row r="124" spans="1:3" x14ac:dyDescent="0.3">
      <c r="A124" s="335">
        <v>39384</v>
      </c>
      <c r="B124">
        <v>22.739601</v>
      </c>
      <c r="C124" s="334">
        <f t="shared" si="1"/>
        <v>-1.1820082045577055E-2</v>
      </c>
    </row>
    <row r="125" spans="1:3" x14ac:dyDescent="0.3">
      <c r="A125" s="335">
        <v>39385</v>
      </c>
      <c r="B125">
        <v>22.576392999999999</v>
      </c>
      <c r="C125" s="334">
        <f t="shared" si="1"/>
        <v>-7.1772587390605885E-3</v>
      </c>
    </row>
    <row r="126" spans="1:3" x14ac:dyDescent="0.3">
      <c r="A126" s="335">
        <v>39386</v>
      </c>
      <c r="B126">
        <v>21.977989000000001</v>
      </c>
      <c r="C126" s="334">
        <f t="shared" si="1"/>
        <v>-2.6505739867302921E-2</v>
      </c>
    </row>
    <row r="127" spans="1:3" x14ac:dyDescent="0.3">
      <c r="A127" s="335">
        <v>39387</v>
      </c>
      <c r="B127">
        <v>22.739601</v>
      </c>
      <c r="C127" s="334">
        <f t="shared" si="1"/>
        <v>3.4653397997423674E-2</v>
      </c>
    </row>
    <row r="128" spans="1:3" x14ac:dyDescent="0.3">
      <c r="A128" s="335">
        <v>39388</v>
      </c>
      <c r="B128">
        <v>22.739601</v>
      </c>
      <c r="C128" s="334">
        <f t="shared" si="1"/>
        <v>0</v>
      </c>
    </row>
    <row r="129" spans="1:3" x14ac:dyDescent="0.3">
      <c r="A129" s="335">
        <v>39391</v>
      </c>
      <c r="B129">
        <v>22.739601</v>
      </c>
      <c r="C129" s="334">
        <f t="shared" si="1"/>
        <v>0</v>
      </c>
    </row>
    <row r="130" spans="1:3" x14ac:dyDescent="0.3">
      <c r="A130" s="335">
        <v>39392</v>
      </c>
      <c r="B130">
        <v>22.630793000000001</v>
      </c>
      <c r="C130" s="334">
        <f t="shared" si="1"/>
        <v>-4.7849564290947666E-3</v>
      </c>
    </row>
    <row r="131" spans="1:3" x14ac:dyDescent="0.3">
      <c r="A131" s="335">
        <v>39393</v>
      </c>
      <c r="B131">
        <v>22.739601</v>
      </c>
      <c r="C131" s="334">
        <f t="shared" si="1"/>
        <v>4.8079623193053728E-3</v>
      </c>
    </row>
    <row r="132" spans="1:3" x14ac:dyDescent="0.3">
      <c r="A132" s="335">
        <v>39394</v>
      </c>
      <c r="B132">
        <v>22.576392999999999</v>
      </c>
      <c r="C132" s="334">
        <f t="shared" ref="C132:C195" si="2">(B132-B131)/B131</f>
        <v>-7.1772587390605885E-3</v>
      </c>
    </row>
    <row r="133" spans="1:3" x14ac:dyDescent="0.3">
      <c r="A133" s="335">
        <v>39395</v>
      </c>
      <c r="B133">
        <v>23.066006000000002</v>
      </c>
      <c r="C133" s="334">
        <f t="shared" si="2"/>
        <v>2.1686945297240443E-2</v>
      </c>
    </row>
    <row r="134" spans="1:3" x14ac:dyDescent="0.3">
      <c r="A134" s="335">
        <v>39398</v>
      </c>
      <c r="B134">
        <v>22.413193</v>
      </c>
      <c r="C134" s="334">
        <f t="shared" si="2"/>
        <v>-2.8301952232215748E-2</v>
      </c>
    </row>
    <row r="135" spans="1:3" x14ac:dyDescent="0.3">
      <c r="A135" s="335">
        <v>39399</v>
      </c>
      <c r="B135">
        <v>22.413193</v>
      </c>
      <c r="C135" s="334">
        <f t="shared" si="2"/>
        <v>0</v>
      </c>
    </row>
    <row r="136" spans="1:3" x14ac:dyDescent="0.3">
      <c r="A136" s="335">
        <v>39400</v>
      </c>
      <c r="B136">
        <v>22.413193</v>
      </c>
      <c r="C136" s="334">
        <f t="shared" si="2"/>
        <v>0</v>
      </c>
    </row>
    <row r="137" spans="1:3" x14ac:dyDescent="0.3">
      <c r="A137" s="335">
        <v>39401</v>
      </c>
      <c r="B137">
        <v>22.032388999999998</v>
      </c>
      <c r="C137" s="334">
        <f t="shared" si="2"/>
        <v>-1.699017181532329E-2</v>
      </c>
    </row>
    <row r="138" spans="1:3" x14ac:dyDescent="0.3">
      <c r="A138" s="335">
        <v>39402</v>
      </c>
      <c r="B138">
        <v>21.542777999999998</v>
      </c>
      <c r="C138" s="334">
        <f t="shared" si="2"/>
        <v>-2.2222329135528608E-2</v>
      </c>
    </row>
    <row r="139" spans="1:3" x14ac:dyDescent="0.3">
      <c r="A139" s="335">
        <v>39405</v>
      </c>
      <c r="B139">
        <v>21.216373000000001</v>
      </c>
      <c r="C139" s="334">
        <f t="shared" si="2"/>
        <v>-1.5151481392046914E-2</v>
      </c>
    </row>
    <row r="140" spans="1:3" x14ac:dyDescent="0.3">
      <c r="A140" s="335">
        <v>39406</v>
      </c>
      <c r="B140">
        <v>21.216373000000001</v>
      </c>
      <c r="C140" s="334">
        <f t="shared" si="2"/>
        <v>0</v>
      </c>
    </row>
    <row r="141" spans="1:3" x14ac:dyDescent="0.3">
      <c r="A141" s="335">
        <v>39407</v>
      </c>
      <c r="B141">
        <v>21.053173000000001</v>
      </c>
      <c r="C141" s="334">
        <f t="shared" si="2"/>
        <v>-7.6921724556784418E-3</v>
      </c>
    </row>
    <row r="142" spans="1:3" x14ac:dyDescent="0.3">
      <c r="A142" s="335">
        <v>39408</v>
      </c>
      <c r="B142">
        <v>21.488379999999999</v>
      </c>
      <c r="C142" s="334">
        <f t="shared" si="2"/>
        <v>2.0671800872960971E-2</v>
      </c>
    </row>
    <row r="143" spans="1:3" x14ac:dyDescent="0.3">
      <c r="A143" s="335">
        <v>39409</v>
      </c>
      <c r="B143">
        <v>21.216373000000001</v>
      </c>
      <c r="C143" s="334">
        <f t="shared" si="2"/>
        <v>-1.2658329757757382E-2</v>
      </c>
    </row>
    <row r="144" spans="1:3" x14ac:dyDescent="0.3">
      <c r="A144" s="335">
        <v>39412</v>
      </c>
      <c r="B144">
        <v>21.053173000000001</v>
      </c>
      <c r="C144" s="334">
        <f t="shared" si="2"/>
        <v>-7.6921724556784418E-3</v>
      </c>
    </row>
    <row r="145" spans="1:3" x14ac:dyDescent="0.3">
      <c r="A145" s="335">
        <v>39413</v>
      </c>
      <c r="B145">
        <v>20.672363000000001</v>
      </c>
      <c r="C145" s="334">
        <f t="shared" si="2"/>
        <v>-1.8088009821607427E-2</v>
      </c>
    </row>
    <row r="146" spans="1:3" x14ac:dyDescent="0.3">
      <c r="A146" s="335">
        <v>39414</v>
      </c>
      <c r="B146">
        <v>20.454758000000002</v>
      </c>
      <c r="C146" s="334">
        <f t="shared" si="2"/>
        <v>-1.0526372819594882E-2</v>
      </c>
    </row>
    <row r="147" spans="1:3" x14ac:dyDescent="0.3">
      <c r="A147" s="335">
        <v>39415</v>
      </c>
      <c r="B147">
        <v>20.400358000000001</v>
      </c>
      <c r="C147" s="334">
        <f t="shared" si="2"/>
        <v>-2.6595279201054888E-3</v>
      </c>
    </row>
    <row r="148" spans="1:3" x14ac:dyDescent="0.3">
      <c r="A148" s="335">
        <v>39416</v>
      </c>
      <c r="B148">
        <v>20.781165999999999</v>
      </c>
      <c r="C148" s="334">
        <f t="shared" si="2"/>
        <v>1.8666731240696767E-2</v>
      </c>
    </row>
    <row r="149" spans="1:3" x14ac:dyDescent="0.3">
      <c r="A149" s="335">
        <v>39419</v>
      </c>
      <c r="B149">
        <v>21.488379999999999</v>
      </c>
      <c r="C149" s="334">
        <f t="shared" si="2"/>
        <v>3.4031487934796364E-2</v>
      </c>
    </row>
    <row r="150" spans="1:3" x14ac:dyDescent="0.3">
      <c r="A150" s="335">
        <v>39420</v>
      </c>
      <c r="B150">
        <v>21.216373000000001</v>
      </c>
      <c r="C150" s="334">
        <f t="shared" si="2"/>
        <v>-1.2658329757757382E-2</v>
      </c>
    </row>
    <row r="151" spans="1:3" x14ac:dyDescent="0.3">
      <c r="A151" s="335">
        <v>39421</v>
      </c>
      <c r="B151">
        <v>21.216373000000001</v>
      </c>
      <c r="C151" s="334">
        <f t="shared" si="2"/>
        <v>0</v>
      </c>
    </row>
    <row r="152" spans="1:3" x14ac:dyDescent="0.3">
      <c r="A152" s="335">
        <v>39422</v>
      </c>
      <c r="B152">
        <v>20.454758000000002</v>
      </c>
      <c r="C152" s="334">
        <f t="shared" si="2"/>
        <v>-3.5897511794310888E-2</v>
      </c>
    </row>
    <row r="153" spans="1:3" x14ac:dyDescent="0.3">
      <c r="A153" s="335">
        <v>39423</v>
      </c>
      <c r="B153">
        <v>0</v>
      </c>
      <c r="C153" s="334">
        <f t="shared" si="2"/>
        <v>-1</v>
      </c>
    </row>
    <row r="154" spans="1:3" x14ac:dyDescent="0.3">
      <c r="A154" s="335">
        <v>39426</v>
      </c>
      <c r="B154">
        <v>0</v>
      </c>
    </row>
    <row r="155" spans="1:3" x14ac:dyDescent="0.3">
      <c r="A155" s="335">
        <v>39427</v>
      </c>
      <c r="B155">
        <v>21.216373000000001</v>
      </c>
    </row>
    <row r="156" spans="1:3" x14ac:dyDescent="0.3">
      <c r="A156" s="335">
        <v>39428</v>
      </c>
      <c r="B156">
        <v>0</v>
      </c>
      <c r="C156" s="334">
        <f t="shared" si="2"/>
        <v>-1</v>
      </c>
    </row>
    <row r="157" spans="1:3" x14ac:dyDescent="0.3">
      <c r="A157" s="335">
        <v>39429</v>
      </c>
      <c r="B157">
        <v>21.270772999999998</v>
      </c>
    </row>
    <row r="158" spans="1:3" x14ac:dyDescent="0.3">
      <c r="A158" s="335">
        <v>39430</v>
      </c>
      <c r="B158">
        <v>22.304390000000001</v>
      </c>
      <c r="C158" s="334">
        <f t="shared" si="2"/>
        <v>4.8593297479127967E-2</v>
      </c>
    </row>
    <row r="159" spans="1:3" x14ac:dyDescent="0.3">
      <c r="A159" s="335">
        <v>39433</v>
      </c>
      <c r="B159">
        <v>21.760380000000001</v>
      </c>
      <c r="C159" s="334">
        <f t="shared" si="2"/>
        <v>-2.4390265772791818E-2</v>
      </c>
    </row>
    <row r="160" spans="1:3" x14ac:dyDescent="0.3">
      <c r="A160" s="335">
        <v>39434</v>
      </c>
      <c r="B160">
        <v>21.923586</v>
      </c>
      <c r="C160" s="334">
        <f t="shared" si="2"/>
        <v>7.5001447585014069E-3</v>
      </c>
    </row>
    <row r="161" spans="1:3" x14ac:dyDescent="0.3">
      <c r="A161" s="335">
        <v>39435</v>
      </c>
      <c r="B161">
        <v>21.760380000000001</v>
      </c>
      <c r="C161" s="334">
        <f t="shared" si="2"/>
        <v>-7.4443113457806969E-3</v>
      </c>
    </row>
    <row r="162" spans="1:3" x14ac:dyDescent="0.3">
      <c r="A162" s="335">
        <v>39436</v>
      </c>
      <c r="B162">
        <v>22.848396000000001</v>
      </c>
      <c r="C162" s="334">
        <f t="shared" si="2"/>
        <v>4.9999862134760494E-2</v>
      </c>
    </row>
    <row r="163" spans="1:3" x14ac:dyDescent="0.3">
      <c r="A163" s="335">
        <v>39437</v>
      </c>
      <c r="B163">
        <v>22.739601</v>
      </c>
      <c r="C163" s="334">
        <f t="shared" si="2"/>
        <v>-4.7616033965798138E-3</v>
      </c>
    </row>
    <row r="164" spans="1:3" x14ac:dyDescent="0.3">
      <c r="A164" s="335">
        <v>39443</v>
      </c>
      <c r="B164">
        <v>0</v>
      </c>
      <c r="C164" s="334">
        <f t="shared" si="2"/>
        <v>-1</v>
      </c>
    </row>
    <row r="165" spans="1:3" x14ac:dyDescent="0.3">
      <c r="A165" s="335">
        <v>39444</v>
      </c>
      <c r="B165">
        <v>23.936419999999998</v>
      </c>
    </row>
    <row r="166" spans="1:3" x14ac:dyDescent="0.3">
      <c r="A166" s="335">
        <v>39449</v>
      </c>
      <c r="B166">
        <v>22.902798000000001</v>
      </c>
      <c r="C166" s="334">
        <f t="shared" si="2"/>
        <v>-4.3181979594275069E-2</v>
      </c>
    </row>
    <row r="167" spans="1:3" x14ac:dyDescent="0.3">
      <c r="A167" s="335">
        <v>39450</v>
      </c>
      <c r="B167">
        <v>0</v>
      </c>
      <c r="C167" s="334">
        <f t="shared" si="2"/>
        <v>-1</v>
      </c>
    </row>
    <row r="168" spans="1:3" x14ac:dyDescent="0.3">
      <c r="A168" s="335">
        <v>39451</v>
      </c>
      <c r="B168">
        <v>22.848396000000001</v>
      </c>
    </row>
    <row r="169" spans="1:3" x14ac:dyDescent="0.3">
      <c r="A169" s="335">
        <v>39454</v>
      </c>
      <c r="B169">
        <v>22.304390000000001</v>
      </c>
      <c r="C169" s="334">
        <f t="shared" si="2"/>
        <v>-2.3809373752100564E-2</v>
      </c>
    </row>
    <row r="170" spans="1:3" x14ac:dyDescent="0.3">
      <c r="A170" s="335">
        <v>39455</v>
      </c>
      <c r="B170">
        <v>21.760380000000001</v>
      </c>
      <c r="C170" s="334">
        <f t="shared" si="2"/>
        <v>-2.4390265772791818E-2</v>
      </c>
    </row>
    <row r="171" spans="1:3" x14ac:dyDescent="0.3">
      <c r="A171" s="335">
        <v>39456</v>
      </c>
      <c r="B171">
        <v>21.760380000000001</v>
      </c>
      <c r="C171" s="334">
        <f t="shared" si="2"/>
        <v>0</v>
      </c>
    </row>
    <row r="172" spans="1:3" x14ac:dyDescent="0.3">
      <c r="A172" s="335">
        <v>39457</v>
      </c>
      <c r="B172">
        <v>21.651579000000002</v>
      </c>
      <c r="C172" s="334">
        <f t="shared" si="2"/>
        <v>-4.9999586404281407E-3</v>
      </c>
    </row>
    <row r="173" spans="1:3" x14ac:dyDescent="0.3">
      <c r="A173" s="335">
        <v>39458</v>
      </c>
      <c r="B173">
        <v>21.597178</v>
      </c>
      <c r="C173" s="334">
        <f t="shared" si="2"/>
        <v>-2.512565018930127E-3</v>
      </c>
    </row>
    <row r="174" spans="1:3" x14ac:dyDescent="0.3">
      <c r="A174" s="335">
        <v>39461</v>
      </c>
      <c r="B174">
        <v>20.672363000000001</v>
      </c>
      <c r="C174" s="334">
        <f t="shared" si="2"/>
        <v>-4.2821103757166738E-2</v>
      </c>
    </row>
    <row r="175" spans="1:3" x14ac:dyDescent="0.3">
      <c r="A175" s="335">
        <v>39462</v>
      </c>
      <c r="B175">
        <v>20.944365999999999</v>
      </c>
      <c r="C175" s="334">
        <f t="shared" si="2"/>
        <v>1.3157808809761999E-2</v>
      </c>
    </row>
    <row r="176" spans="1:3" x14ac:dyDescent="0.3">
      <c r="A176" s="335">
        <v>39463</v>
      </c>
      <c r="B176">
        <v>20.128353000000001</v>
      </c>
      <c r="C176" s="334">
        <f t="shared" si="2"/>
        <v>-3.8960978814063796E-2</v>
      </c>
    </row>
    <row r="177" spans="1:3" x14ac:dyDescent="0.3">
      <c r="A177" s="335">
        <v>39464</v>
      </c>
      <c r="B177">
        <v>20.944365999999999</v>
      </c>
      <c r="C177" s="334">
        <f t="shared" si="2"/>
        <v>4.0540475417933999E-2</v>
      </c>
    </row>
    <row r="178" spans="1:3" x14ac:dyDescent="0.3">
      <c r="A178" s="335">
        <v>39465</v>
      </c>
      <c r="B178">
        <v>21.080369999999998</v>
      </c>
      <c r="C178" s="334">
        <f t="shared" si="2"/>
        <v>6.4935840024949809E-3</v>
      </c>
    </row>
    <row r="179" spans="1:3" x14ac:dyDescent="0.3">
      <c r="A179" s="335">
        <v>39468</v>
      </c>
      <c r="B179">
        <v>20.128353000000001</v>
      </c>
      <c r="C179" s="334">
        <f t="shared" si="2"/>
        <v>-4.516130409475725E-2</v>
      </c>
    </row>
    <row r="180" spans="1:3" x14ac:dyDescent="0.3">
      <c r="A180" s="335">
        <v>39469</v>
      </c>
      <c r="B180">
        <v>19.584347000000001</v>
      </c>
      <c r="C180" s="334">
        <f t="shared" si="2"/>
        <v>-2.7026851128852895E-2</v>
      </c>
    </row>
    <row r="181" spans="1:3" x14ac:dyDescent="0.3">
      <c r="A181" s="335">
        <v>39470</v>
      </c>
      <c r="B181">
        <v>19.584347000000001</v>
      </c>
      <c r="C181" s="334">
        <f t="shared" si="2"/>
        <v>0</v>
      </c>
    </row>
    <row r="182" spans="1:3" x14ac:dyDescent="0.3">
      <c r="A182" s="335">
        <v>39471</v>
      </c>
      <c r="B182">
        <v>19.584347000000001</v>
      </c>
      <c r="C182" s="334">
        <f t="shared" si="2"/>
        <v>0</v>
      </c>
    </row>
    <row r="183" spans="1:3" x14ac:dyDescent="0.3">
      <c r="A183" s="335">
        <v>39472</v>
      </c>
      <c r="B183">
        <v>19.584347000000001</v>
      </c>
      <c r="C183" s="334">
        <f t="shared" si="2"/>
        <v>0</v>
      </c>
    </row>
    <row r="184" spans="1:3" x14ac:dyDescent="0.3">
      <c r="A184" s="335">
        <v>39475</v>
      </c>
      <c r="B184">
        <v>19.856348000000001</v>
      </c>
      <c r="C184" s="334">
        <f t="shared" si="2"/>
        <v>1.3888693863522714E-2</v>
      </c>
    </row>
    <row r="185" spans="1:3" x14ac:dyDescent="0.3">
      <c r="A185" s="335">
        <v>39476</v>
      </c>
      <c r="B185">
        <v>19.584347000000001</v>
      </c>
      <c r="C185" s="334">
        <f t="shared" si="2"/>
        <v>-1.369844041814736E-2</v>
      </c>
    </row>
    <row r="186" spans="1:3" x14ac:dyDescent="0.3">
      <c r="A186" s="335">
        <v>39477</v>
      </c>
      <c r="B186">
        <v>19.584347000000001</v>
      </c>
      <c r="C186" s="334">
        <f t="shared" si="2"/>
        <v>0</v>
      </c>
    </row>
    <row r="187" spans="1:3" x14ac:dyDescent="0.3">
      <c r="A187" s="335">
        <v>39478</v>
      </c>
      <c r="B187">
        <v>19.638742000000001</v>
      </c>
      <c r="C187" s="334">
        <f t="shared" si="2"/>
        <v>2.7774732545333028E-3</v>
      </c>
    </row>
    <row r="188" spans="1:3" x14ac:dyDescent="0.3">
      <c r="A188" s="335">
        <v>39479</v>
      </c>
      <c r="B188">
        <v>19.584347000000001</v>
      </c>
      <c r="C188" s="334">
        <f t="shared" si="2"/>
        <v>-2.769780263929305E-3</v>
      </c>
    </row>
    <row r="189" spans="1:3" x14ac:dyDescent="0.3">
      <c r="A189" s="335">
        <v>39482</v>
      </c>
      <c r="B189">
        <v>19.584347000000001</v>
      </c>
      <c r="C189" s="334">
        <f t="shared" si="2"/>
        <v>0</v>
      </c>
    </row>
    <row r="190" spans="1:3" x14ac:dyDescent="0.3">
      <c r="A190" s="335">
        <v>39483</v>
      </c>
      <c r="B190">
        <v>19.693144</v>
      </c>
      <c r="C190" s="334">
        <f t="shared" si="2"/>
        <v>5.5553039373740232E-3</v>
      </c>
    </row>
    <row r="191" spans="1:3" x14ac:dyDescent="0.3">
      <c r="A191" s="335">
        <v>39484</v>
      </c>
      <c r="B191">
        <v>19.638742000000001</v>
      </c>
      <c r="C191" s="334">
        <f t="shared" si="2"/>
        <v>-2.7624842432472751E-3</v>
      </c>
    </row>
    <row r="192" spans="1:3" x14ac:dyDescent="0.3">
      <c r="A192" s="335">
        <v>39485</v>
      </c>
      <c r="B192">
        <v>19.584347000000001</v>
      </c>
      <c r="C192" s="334">
        <f t="shared" si="2"/>
        <v>-2.769780263929305E-3</v>
      </c>
    </row>
    <row r="193" spans="1:3" x14ac:dyDescent="0.3">
      <c r="A193" s="335">
        <v>39486</v>
      </c>
      <c r="B193">
        <v>20.128353000000001</v>
      </c>
      <c r="C193" s="334">
        <f t="shared" si="2"/>
        <v>2.777759197179255E-2</v>
      </c>
    </row>
    <row r="194" spans="1:3" x14ac:dyDescent="0.3">
      <c r="A194" s="335">
        <v>39489</v>
      </c>
      <c r="B194">
        <v>20.128353000000001</v>
      </c>
      <c r="C194" s="334">
        <f t="shared" si="2"/>
        <v>0</v>
      </c>
    </row>
    <row r="195" spans="1:3" x14ac:dyDescent="0.3">
      <c r="A195" s="335">
        <v>39490</v>
      </c>
      <c r="B195">
        <v>19.040337000000001</v>
      </c>
      <c r="C195" s="334">
        <f t="shared" si="2"/>
        <v>-5.4053900982360535E-2</v>
      </c>
    </row>
    <row r="196" spans="1:3" x14ac:dyDescent="0.3">
      <c r="A196" s="335">
        <v>39491</v>
      </c>
      <c r="B196">
        <v>19.040337000000001</v>
      </c>
      <c r="C196" s="334">
        <f t="shared" ref="C196:C259" si="3">(B196-B195)/B195</f>
        <v>0</v>
      </c>
    </row>
    <row r="197" spans="1:3" x14ac:dyDescent="0.3">
      <c r="A197" s="335">
        <v>39492</v>
      </c>
      <c r="B197">
        <v>19.856348000000001</v>
      </c>
      <c r="C197" s="334">
        <f t="shared" si="3"/>
        <v>4.2856962038014326E-2</v>
      </c>
    </row>
    <row r="198" spans="1:3" x14ac:dyDescent="0.3">
      <c r="A198" s="335">
        <v>39493</v>
      </c>
      <c r="B198">
        <v>20.672363000000001</v>
      </c>
      <c r="C198" s="334">
        <f t="shared" si="3"/>
        <v>4.1095925595179945E-2</v>
      </c>
    </row>
    <row r="199" spans="1:3" x14ac:dyDescent="0.3">
      <c r="A199" s="335">
        <v>39496</v>
      </c>
      <c r="B199">
        <v>20.672363000000001</v>
      </c>
      <c r="C199" s="334">
        <f t="shared" si="3"/>
        <v>0</v>
      </c>
    </row>
    <row r="200" spans="1:3" x14ac:dyDescent="0.3">
      <c r="A200" s="335">
        <v>39497</v>
      </c>
      <c r="B200">
        <v>20.672363000000001</v>
      </c>
      <c r="C200" s="334">
        <f t="shared" si="3"/>
        <v>0</v>
      </c>
    </row>
    <row r="201" spans="1:3" x14ac:dyDescent="0.3">
      <c r="A201" s="335">
        <v>39498</v>
      </c>
      <c r="B201">
        <v>0</v>
      </c>
      <c r="C201" s="334">
        <f t="shared" si="3"/>
        <v>-1</v>
      </c>
    </row>
    <row r="202" spans="1:3" x14ac:dyDescent="0.3">
      <c r="A202" s="335">
        <v>39499</v>
      </c>
      <c r="B202">
        <v>20.617965999999999</v>
      </c>
    </row>
    <row r="203" spans="1:3" x14ac:dyDescent="0.3">
      <c r="A203" s="335">
        <v>39500</v>
      </c>
      <c r="B203">
        <v>20.617965999999999</v>
      </c>
      <c r="C203" s="334">
        <f t="shared" si="3"/>
        <v>0</v>
      </c>
    </row>
    <row r="204" spans="1:3" x14ac:dyDescent="0.3">
      <c r="A204" s="335">
        <v>39503</v>
      </c>
      <c r="B204">
        <v>0</v>
      </c>
      <c r="C204" s="334">
        <f t="shared" si="3"/>
        <v>-1</v>
      </c>
    </row>
    <row r="205" spans="1:3" x14ac:dyDescent="0.3">
      <c r="A205" s="335">
        <v>39504</v>
      </c>
      <c r="B205">
        <v>19.856348000000001</v>
      </c>
    </row>
    <row r="206" spans="1:3" x14ac:dyDescent="0.3">
      <c r="A206" s="335">
        <v>39505</v>
      </c>
      <c r="B206">
        <v>20.400358000000001</v>
      </c>
      <c r="C206" s="334">
        <f t="shared" si="3"/>
        <v>2.7397283730119962E-2</v>
      </c>
    </row>
    <row r="207" spans="1:3" x14ac:dyDescent="0.3">
      <c r="A207" s="335">
        <v>39506</v>
      </c>
      <c r="B207">
        <v>20.400358000000001</v>
      </c>
      <c r="C207" s="334">
        <f t="shared" si="3"/>
        <v>0</v>
      </c>
    </row>
    <row r="208" spans="1:3" x14ac:dyDescent="0.3">
      <c r="A208" s="335">
        <v>39507</v>
      </c>
      <c r="B208">
        <v>20.672363000000001</v>
      </c>
      <c r="C208" s="334">
        <f t="shared" si="3"/>
        <v>1.3333344444249461E-2</v>
      </c>
    </row>
    <row r="209" spans="1:3" x14ac:dyDescent="0.3">
      <c r="A209" s="335">
        <v>39510</v>
      </c>
      <c r="B209">
        <v>20.128353000000001</v>
      </c>
      <c r="C209" s="334">
        <f t="shared" si="3"/>
        <v>-2.6315811114578438E-2</v>
      </c>
    </row>
    <row r="210" spans="1:3" x14ac:dyDescent="0.3">
      <c r="A210" s="335">
        <v>39511</v>
      </c>
      <c r="B210">
        <v>0</v>
      </c>
      <c r="C210" s="334">
        <f t="shared" si="3"/>
        <v>-1</v>
      </c>
    </row>
    <row r="211" spans="1:3" x14ac:dyDescent="0.3">
      <c r="A211" s="335">
        <v>39512</v>
      </c>
      <c r="B211">
        <v>20.672363000000001</v>
      </c>
    </row>
    <row r="212" spans="1:3" x14ac:dyDescent="0.3">
      <c r="A212" s="335">
        <v>39513</v>
      </c>
      <c r="B212">
        <v>20.672363000000001</v>
      </c>
      <c r="C212" s="334">
        <f t="shared" si="3"/>
        <v>0</v>
      </c>
    </row>
    <row r="213" spans="1:3" x14ac:dyDescent="0.3">
      <c r="A213" s="335">
        <v>39514</v>
      </c>
      <c r="B213">
        <v>20.400358000000001</v>
      </c>
      <c r="C213" s="334">
        <f t="shared" si="3"/>
        <v>-1.3157905557289219E-2</v>
      </c>
    </row>
    <row r="214" spans="1:3" x14ac:dyDescent="0.3">
      <c r="A214" s="335">
        <v>39517</v>
      </c>
      <c r="B214">
        <v>20.400358000000001</v>
      </c>
      <c r="C214" s="334">
        <f t="shared" si="3"/>
        <v>0</v>
      </c>
    </row>
    <row r="215" spans="1:3" x14ac:dyDescent="0.3">
      <c r="A215" s="335">
        <v>39518</v>
      </c>
      <c r="B215">
        <v>20.400358000000001</v>
      </c>
      <c r="C215" s="334">
        <f t="shared" si="3"/>
        <v>0</v>
      </c>
    </row>
    <row r="216" spans="1:3" x14ac:dyDescent="0.3">
      <c r="A216" s="335">
        <v>39519</v>
      </c>
      <c r="B216">
        <v>20.672363000000001</v>
      </c>
      <c r="C216" s="334">
        <f t="shared" si="3"/>
        <v>1.3333344444249461E-2</v>
      </c>
    </row>
    <row r="217" spans="1:3" x14ac:dyDescent="0.3">
      <c r="A217" s="335">
        <v>39520</v>
      </c>
      <c r="B217">
        <v>20.672363000000001</v>
      </c>
      <c r="C217" s="334">
        <f t="shared" si="3"/>
        <v>0</v>
      </c>
    </row>
    <row r="218" spans="1:3" x14ac:dyDescent="0.3">
      <c r="A218" s="335">
        <v>39521</v>
      </c>
      <c r="B218">
        <v>21.216373000000001</v>
      </c>
      <c r="C218" s="334">
        <f t="shared" si="3"/>
        <v>2.6315811114578438E-2</v>
      </c>
    </row>
    <row r="219" spans="1:3" x14ac:dyDescent="0.3">
      <c r="A219" s="335">
        <v>39524</v>
      </c>
      <c r="B219">
        <v>21.216373000000001</v>
      </c>
      <c r="C219" s="334">
        <f t="shared" si="3"/>
        <v>0</v>
      </c>
    </row>
    <row r="220" spans="1:3" x14ac:dyDescent="0.3">
      <c r="A220" s="335">
        <v>39525</v>
      </c>
      <c r="B220">
        <v>20.672363000000001</v>
      </c>
      <c r="C220" s="334">
        <f t="shared" si="3"/>
        <v>-2.5641046186358058E-2</v>
      </c>
    </row>
    <row r="221" spans="1:3" x14ac:dyDescent="0.3">
      <c r="A221" s="335">
        <v>39526</v>
      </c>
      <c r="B221">
        <v>21.216373000000001</v>
      </c>
      <c r="C221" s="334">
        <f t="shared" si="3"/>
        <v>2.6315811114578438E-2</v>
      </c>
    </row>
    <row r="222" spans="1:3" x14ac:dyDescent="0.3">
      <c r="A222" s="335">
        <v>39532</v>
      </c>
      <c r="B222">
        <v>21.107572999999999</v>
      </c>
      <c r="C222" s="334">
        <f t="shared" si="3"/>
        <v>-5.1281149704524064E-3</v>
      </c>
    </row>
    <row r="223" spans="1:3" x14ac:dyDescent="0.3">
      <c r="A223" s="335">
        <v>39533</v>
      </c>
      <c r="B223">
        <v>20.998771999999999</v>
      </c>
      <c r="C223" s="334">
        <f t="shared" si="3"/>
        <v>-5.154595462017339E-3</v>
      </c>
    </row>
    <row r="224" spans="1:3" x14ac:dyDescent="0.3">
      <c r="A224" s="335">
        <v>39534</v>
      </c>
      <c r="B224">
        <v>21.760380000000001</v>
      </c>
      <c r="C224" s="334">
        <f t="shared" si="3"/>
        <v>3.6269168501853466E-2</v>
      </c>
    </row>
    <row r="225" spans="1:3" x14ac:dyDescent="0.3">
      <c r="A225" s="335">
        <v>39535</v>
      </c>
      <c r="B225">
        <v>22.413193</v>
      </c>
      <c r="C225" s="334">
        <f t="shared" si="3"/>
        <v>3.0000073528127648E-2</v>
      </c>
    </row>
    <row r="226" spans="1:3" x14ac:dyDescent="0.3">
      <c r="A226" s="335">
        <v>39538</v>
      </c>
      <c r="B226">
        <v>0</v>
      </c>
      <c r="C226" s="334">
        <f t="shared" si="3"/>
        <v>-1</v>
      </c>
    </row>
    <row r="227" spans="1:3" x14ac:dyDescent="0.3">
      <c r="A227" s="335">
        <v>39539</v>
      </c>
      <c r="B227">
        <v>21.760380000000001</v>
      </c>
    </row>
    <row r="228" spans="1:3" x14ac:dyDescent="0.3">
      <c r="A228" s="335">
        <v>39540</v>
      </c>
      <c r="B228">
        <v>21.433975</v>
      </c>
      <c r="C228" s="334">
        <f t="shared" si="3"/>
        <v>-1.4999967831444173E-2</v>
      </c>
    </row>
    <row r="229" spans="1:3" x14ac:dyDescent="0.3">
      <c r="A229" s="335">
        <v>39541</v>
      </c>
      <c r="B229">
        <v>0</v>
      </c>
      <c r="C229" s="334">
        <f t="shared" si="3"/>
        <v>-1</v>
      </c>
    </row>
    <row r="230" spans="1:3" x14ac:dyDescent="0.3">
      <c r="A230" s="335">
        <v>39542</v>
      </c>
      <c r="B230">
        <v>21.216373000000001</v>
      </c>
    </row>
    <row r="231" spans="1:3" x14ac:dyDescent="0.3">
      <c r="A231" s="335">
        <v>39545</v>
      </c>
      <c r="B231">
        <v>21.760380000000001</v>
      </c>
      <c r="C231" s="334">
        <f t="shared" si="3"/>
        <v>2.5640904786129116E-2</v>
      </c>
    </row>
    <row r="232" spans="1:3" x14ac:dyDescent="0.3">
      <c r="A232" s="335">
        <v>39546</v>
      </c>
      <c r="B232">
        <v>21.760380000000001</v>
      </c>
      <c r="C232" s="334">
        <f t="shared" si="3"/>
        <v>0</v>
      </c>
    </row>
    <row r="233" spans="1:3" x14ac:dyDescent="0.3">
      <c r="A233" s="335">
        <v>39547</v>
      </c>
      <c r="B233">
        <v>20.128353000000001</v>
      </c>
      <c r="C233" s="334">
        <f t="shared" si="3"/>
        <v>-7.4999931067380288E-2</v>
      </c>
    </row>
    <row r="234" spans="1:3" x14ac:dyDescent="0.3">
      <c r="A234" s="335">
        <v>39548</v>
      </c>
      <c r="B234">
        <v>20.128353000000001</v>
      </c>
      <c r="C234" s="334">
        <f t="shared" si="3"/>
        <v>0</v>
      </c>
    </row>
    <row r="235" spans="1:3" x14ac:dyDescent="0.3">
      <c r="A235" s="335">
        <v>39549</v>
      </c>
      <c r="B235">
        <v>20.128353000000001</v>
      </c>
      <c r="C235" s="334">
        <f t="shared" si="3"/>
        <v>0</v>
      </c>
    </row>
    <row r="236" spans="1:3" x14ac:dyDescent="0.3">
      <c r="A236" s="335">
        <v>39552</v>
      </c>
      <c r="B236">
        <v>20.345959000000001</v>
      </c>
      <c r="C236" s="334">
        <f t="shared" si="3"/>
        <v>1.0810919303730413E-2</v>
      </c>
    </row>
    <row r="237" spans="1:3" x14ac:dyDescent="0.3">
      <c r="A237" s="335">
        <v>39553</v>
      </c>
      <c r="B237">
        <v>20.182753000000002</v>
      </c>
      <c r="C237" s="334">
        <f t="shared" si="3"/>
        <v>-8.0215437375057552E-3</v>
      </c>
    </row>
    <row r="238" spans="1:3" x14ac:dyDescent="0.3">
      <c r="A238" s="335">
        <v>39554</v>
      </c>
      <c r="B238">
        <v>20.672363000000001</v>
      </c>
      <c r="C238" s="334">
        <f t="shared" si="3"/>
        <v>2.4258831290260498E-2</v>
      </c>
    </row>
    <row r="239" spans="1:3" x14ac:dyDescent="0.3">
      <c r="A239" s="335">
        <v>39555</v>
      </c>
      <c r="B239">
        <v>20.400358000000001</v>
      </c>
      <c r="C239" s="334">
        <f t="shared" si="3"/>
        <v>-1.3157905557289219E-2</v>
      </c>
    </row>
    <row r="240" spans="1:3" x14ac:dyDescent="0.3">
      <c r="A240" s="335">
        <v>39556</v>
      </c>
      <c r="B240">
        <v>22.413193</v>
      </c>
      <c r="C240" s="334">
        <f t="shared" si="3"/>
        <v>9.8666650849950716E-2</v>
      </c>
    </row>
    <row r="241" spans="1:3" x14ac:dyDescent="0.3">
      <c r="A241" s="335">
        <v>39559</v>
      </c>
      <c r="B241">
        <v>22.304390000000001</v>
      </c>
      <c r="C241" s="334">
        <f t="shared" si="3"/>
        <v>-4.8544176637393081E-3</v>
      </c>
    </row>
    <row r="242" spans="1:3" x14ac:dyDescent="0.3">
      <c r="A242" s="335">
        <v>39560</v>
      </c>
      <c r="B242">
        <v>21.869183</v>
      </c>
      <c r="C242" s="334">
        <f t="shared" si="3"/>
        <v>-1.9512167784010315E-2</v>
      </c>
    </row>
    <row r="243" spans="1:3" x14ac:dyDescent="0.3">
      <c r="A243" s="335">
        <v>39561</v>
      </c>
      <c r="B243">
        <v>22.576392999999999</v>
      </c>
      <c r="C243" s="334">
        <f t="shared" si="3"/>
        <v>3.2338199373977521E-2</v>
      </c>
    </row>
    <row r="244" spans="1:3" x14ac:dyDescent="0.3">
      <c r="A244" s="335">
        <v>39562</v>
      </c>
      <c r="B244">
        <v>22.032388999999998</v>
      </c>
      <c r="C244" s="334">
        <f t="shared" si="3"/>
        <v>-2.4096143259022866E-2</v>
      </c>
    </row>
    <row r="245" spans="1:3" x14ac:dyDescent="0.3">
      <c r="A245" s="335">
        <v>39563</v>
      </c>
      <c r="B245">
        <v>23.120403</v>
      </c>
      <c r="C245" s="334">
        <f t="shared" si="3"/>
        <v>4.9382479584942025E-2</v>
      </c>
    </row>
    <row r="246" spans="1:3" x14ac:dyDescent="0.3">
      <c r="A246" s="335">
        <v>39566</v>
      </c>
      <c r="B246">
        <v>0</v>
      </c>
      <c r="C246" s="334">
        <f t="shared" si="3"/>
        <v>-1</v>
      </c>
    </row>
    <row r="247" spans="1:3" x14ac:dyDescent="0.3">
      <c r="A247" s="335">
        <v>39567</v>
      </c>
      <c r="B247">
        <v>23.936419999999998</v>
      </c>
    </row>
    <row r="248" spans="1:3" x14ac:dyDescent="0.3">
      <c r="A248" s="335">
        <v>39568</v>
      </c>
      <c r="B248">
        <v>23.392408</v>
      </c>
      <c r="C248" s="334">
        <f t="shared" si="3"/>
        <v>-2.2727375271657108E-2</v>
      </c>
    </row>
    <row r="249" spans="1:3" x14ac:dyDescent="0.3">
      <c r="A249" s="335">
        <v>39570</v>
      </c>
      <c r="B249">
        <v>22.848396000000001</v>
      </c>
      <c r="C249" s="334">
        <f t="shared" si="3"/>
        <v>-2.3255921322849645E-2</v>
      </c>
    </row>
    <row r="250" spans="1:3" x14ac:dyDescent="0.3">
      <c r="A250" s="335">
        <v>39573</v>
      </c>
      <c r="B250">
        <v>24.045224999999999</v>
      </c>
      <c r="C250" s="334">
        <f t="shared" si="3"/>
        <v>5.2381313769246533E-2</v>
      </c>
    </row>
    <row r="251" spans="1:3" x14ac:dyDescent="0.3">
      <c r="A251" s="335">
        <v>39574</v>
      </c>
      <c r="B251">
        <v>23.936419999999998</v>
      </c>
      <c r="C251" s="334">
        <f t="shared" si="3"/>
        <v>-4.5250148418241156E-3</v>
      </c>
    </row>
    <row r="252" spans="1:3" x14ac:dyDescent="0.3">
      <c r="A252" s="335">
        <v>39575</v>
      </c>
      <c r="B252">
        <v>23.936419999999998</v>
      </c>
      <c r="C252" s="334">
        <f t="shared" si="3"/>
        <v>0</v>
      </c>
    </row>
    <row r="253" spans="1:3" x14ac:dyDescent="0.3">
      <c r="A253" s="335">
        <v>39576</v>
      </c>
      <c r="B253">
        <v>23.936419999999998</v>
      </c>
      <c r="C253" s="334">
        <f t="shared" si="3"/>
        <v>0</v>
      </c>
    </row>
    <row r="254" spans="1:3" x14ac:dyDescent="0.3">
      <c r="A254" s="335">
        <v>39577</v>
      </c>
      <c r="B254">
        <v>23.392408</v>
      </c>
      <c r="C254" s="334">
        <f t="shared" si="3"/>
        <v>-2.2727375271657108E-2</v>
      </c>
    </row>
    <row r="255" spans="1:3" x14ac:dyDescent="0.3">
      <c r="A255" s="335">
        <v>39581</v>
      </c>
      <c r="B255">
        <v>23.664413</v>
      </c>
      <c r="C255" s="334">
        <f t="shared" si="3"/>
        <v>1.1627917912512472E-2</v>
      </c>
    </row>
    <row r="256" spans="1:3" x14ac:dyDescent="0.3">
      <c r="A256" s="335">
        <v>39582</v>
      </c>
      <c r="B256">
        <v>23.664413</v>
      </c>
      <c r="C256" s="334">
        <f t="shared" si="3"/>
        <v>0</v>
      </c>
    </row>
    <row r="257" spans="1:3" x14ac:dyDescent="0.3">
      <c r="A257" s="335">
        <v>39583</v>
      </c>
      <c r="B257">
        <v>23.446809999999999</v>
      </c>
      <c r="C257" s="334">
        <f t="shared" si="3"/>
        <v>-9.1953685899582825E-3</v>
      </c>
    </row>
    <row r="258" spans="1:3" x14ac:dyDescent="0.3">
      <c r="A258" s="335">
        <v>39584</v>
      </c>
      <c r="B258">
        <v>23.120403</v>
      </c>
      <c r="C258" s="334">
        <f t="shared" si="3"/>
        <v>-1.3921168807185271E-2</v>
      </c>
    </row>
    <row r="259" spans="1:3" x14ac:dyDescent="0.3">
      <c r="A259" s="335">
        <v>39587</v>
      </c>
      <c r="B259">
        <v>23.392408</v>
      </c>
      <c r="C259" s="334">
        <f t="shared" si="3"/>
        <v>1.1764717076947147E-2</v>
      </c>
    </row>
    <row r="260" spans="1:3" x14ac:dyDescent="0.3">
      <c r="A260" s="335">
        <v>39588</v>
      </c>
      <c r="B260">
        <v>23.392408</v>
      </c>
      <c r="C260" s="334">
        <f t="shared" ref="C260:C322" si="4">(B260-B259)/B259</f>
        <v>0</v>
      </c>
    </row>
    <row r="261" spans="1:3" x14ac:dyDescent="0.3">
      <c r="A261" s="335">
        <v>39589</v>
      </c>
      <c r="B261">
        <v>23.174804999999999</v>
      </c>
      <c r="C261" s="334">
        <f t="shared" si="4"/>
        <v>-9.3022915810976117E-3</v>
      </c>
    </row>
    <row r="262" spans="1:3" x14ac:dyDescent="0.3">
      <c r="A262" s="335">
        <v>39590</v>
      </c>
      <c r="B262">
        <v>23.174804999999999</v>
      </c>
      <c r="C262" s="334">
        <f t="shared" si="4"/>
        <v>0</v>
      </c>
    </row>
    <row r="263" spans="1:3" x14ac:dyDescent="0.3">
      <c r="A263" s="335">
        <v>39591</v>
      </c>
      <c r="B263">
        <v>23.454018000000001</v>
      </c>
      <c r="C263" s="334">
        <f t="shared" si="4"/>
        <v>1.2048127265795858E-2</v>
      </c>
    </row>
    <row r="264" spans="1:3" x14ac:dyDescent="0.3">
      <c r="A264" s="335">
        <v>39594</v>
      </c>
      <c r="B264">
        <v>22.895589999999999</v>
      </c>
      <c r="C264" s="334">
        <f t="shared" si="4"/>
        <v>-2.3809481172906186E-2</v>
      </c>
    </row>
    <row r="265" spans="1:3" x14ac:dyDescent="0.3">
      <c r="A265" s="335">
        <v>39595</v>
      </c>
      <c r="B265">
        <v>22.504691999999999</v>
      </c>
      <c r="C265" s="334">
        <f t="shared" si="4"/>
        <v>-1.707306952998372E-2</v>
      </c>
    </row>
    <row r="266" spans="1:3" x14ac:dyDescent="0.3">
      <c r="A266" s="335">
        <v>39596</v>
      </c>
      <c r="B266">
        <v>22.895589999999999</v>
      </c>
      <c r="C266" s="334">
        <f t="shared" si="4"/>
        <v>1.7369622299207649E-2</v>
      </c>
    </row>
    <row r="267" spans="1:3" x14ac:dyDescent="0.3">
      <c r="A267" s="335">
        <v>39597</v>
      </c>
      <c r="B267">
        <v>0</v>
      </c>
      <c r="C267" s="334">
        <f t="shared" si="4"/>
        <v>-1</v>
      </c>
    </row>
    <row r="268" spans="1:3" x14ac:dyDescent="0.3">
      <c r="A268" s="335">
        <v>39598</v>
      </c>
      <c r="B268">
        <v>22.616377</v>
      </c>
    </row>
    <row r="269" spans="1:3" x14ac:dyDescent="0.3">
      <c r="A269" s="335">
        <v>39601</v>
      </c>
      <c r="B269">
        <v>22.895589999999999</v>
      </c>
      <c r="C269" s="334">
        <f t="shared" si="4"/>
        <v>1.2345611324041803E-2</v>
      </c>
    </row>
    <row r="270" spans="1:3" x14ac:dyDescent="0.3">
      <c r="A270" s="335">
        <v>39602</v>
      </c>
      <c r="B270">
        <v>22.895589999999999</v>
      </c>
      <c r="C270" s="334">
        <f t="shared" si="4"/>
        <v>0</v>
      </c>
    </row>
    <row r="271" spans="1:3" x14ac:dyDescent="0.3">
      <c r="A271" s="335">
        <v>39603</v>
      </c>
      <c r="B271">
        <v>22.895589999999999</v>
      </c>
      <c r="C271" s="334">
        <f t="shared" si="4"/>
        <v>0</v>
      </c>
    </row>
    <row r="272" spans="1:3" x14ac:dyDescent="0.3">
      <c r="A272" s="335">
        <v>39604</v>
      </c>
      <c r="B272">
        <v>23.454018000000001</v>
      </c>
      <c r="C272" s="334">
        <f t="shared" si="4"/>
        <v>2.4390199160624508E-2</v>
      </c>
    </row>
    <row r="273" spans="1:3" x14ac:dyDescent="0.3">
      <c r="A273" s="335">
        <v>39605</v>
      </c>
      <c r="B273">
        <v>23.789078</v>
      </c>
      <c r="C273" s="334">
        <f t="shared" si="4"/>
        <v>1.4285825140920356E-2</v>
      </c>
    </row>
    <row r="274" spans="1:3" x14ac:dyDescent="0.3">
      <c r="A274" s="335">
        <v>39608</v>
      </c>
      <c r="B274">
        <v>23.509858999999999</v>
      </c>
      <c r="C274" s="334">
        <f t="shared" si="4"/>
        <v>-1.1737277081524606E-2</v>
      </c>
    </row>
    <row r="275" spans="1:3" x14ac:dyDescent="0.3">
      <c r="A275" s="335">
        <v>39609</v>
      </c>
      <c r="B275">
        <v>23.509858999999999</v>
      </c>
      <c r="C275" s="334">
        <f t="shared" si="4"/>
        <v>0</v>
      </c>
    </row>
    <row r="276" spans="1:3" x14ac:dyDescent="0.3">
      <c r="A276" s="335">
        <v>39610</v>
      </c>
      <c r="B276">
        <v>24.570882999999998</v>
      </c>
      <c r="C276" s="334">
        <f t="shared" si="4"/>
        <v>4.5131023542080782E-2</v>
      </c>
    </row>
    <row r="277" spans="1:3" x14ac:dyDescent="0.3">
      <c r="A277" s="335">
        <v>39611</v>
      </c>
      <c r="B277">
        <v>23.900763000000001</v>
      </c>
      <c r="C277" s="334">
        <f t="shared" si="4"/>
        <v>-2.7272931135604576E-2</v>
      </c>
    </row>
    <row r="278" spans="1:3" x14ac:dyDescent="0.3">
      <c r="A278" s="335">
        <v>39612</v>
      </c>
      <c r="B278">
        <v>23.565704</v>
      </c>
      <c r="C278" s="334">
        <f t="shared" si="4"/>
        <v>-1.4018757476487302E-2</v>
      </c>
    </row>
    <row r="279" spans="1:3" x14ac:dyDescent="0.3">
      <c r="A279" s="335">
        <v>39615</v>
      </c>
      <c r="B279">
        <v>23.454018000000001</v>
      </c>
      <c r="C279" s="334">
        <f t="shared" si="4"/>
        <v>-4.7393449395782463E-3</v>
      </c>
    </row>
    <row r="280" spans="1:3" x14ac:dyDescent="0.3">
      <c r="A280" s="335">
        <v>39616</v>
      </c>
      <c r="B280">
        <v>23.007277999999999</v>
      </c>
      <c r="C280" s="334">
        <f t="shared" si="4"/>
        <v>-1.904748261044235E-2</v>
      </c>
    </row>
    <row r="281" spans="1:3" x14ac:dyDescent="0.3">
      <c r="A281" s="335">
        <v>39617</v>
      </c>
      <c r="B281">
        <v>22.895589999999999</v>
      </c>
      <c r="C281" s="334">
        <f t="shared" si="4"/>
        <v>-4.8544638787778767E-3</v>
      </c>
    </row>
    <row r="282" spans="1:3" x14ac:dyDescent="0.3">
      <c r="A282" s="335">
        <v>39618</v>
      </c>
      <c r="B282">
        <v>22.337164000000001</v>
      </c>
      <c r="C282" s="334">
        <f t="shared" si="4"/>
        <v>-2.4390111807557579E-2</v>
      </c>
    </row>
    <row r="283" spans="1:3" x14ac:dyDescent="0.3">
      <c r="A283" s="335">
        <v>39619</v>
      </c>
      <c r="B283">
        <v>22.616377</v>
      </c>
      <c r="C283" s="334">
        <f t="shared" si="4"/>
        <v>1.2499930608916986E-2</v>
      </c>
    </row>
    <row r="284" spans="1:3" x14ac:dyDescent="0.3">
      <c r="A284" s="335">
        <v>39622</v>
      </c>
      <c r="B284">
        <v>22.337164000000001</v>
      </c>
      <c r="C284" s="334">
        <f t="shared" si="4"/>
        <v>-1.2345611324041803E-2</v>
      </c>
    </row>
    <row r="285" spans="1:3" x14ac:dyDescent="0.3">
      <c r="A285" s="335">
        <v>39623</v>
      </c>
      <c r="B285">
        <v>22.337164000000001</v>
      </c>
      <c r="C285" s="334">
        <f t="shared" si="4"/>
        <v>0</v>
      </c>
    </row>
    <row r="286" spans="1:3" x14ac:dyDescent="0.3">
      <c r="A286" s="335">
        <v>39624</v>
      </c>
      <c r="B286">
        <v>0</v>
      </c>
      <c r="C286" s="334">
        <f t="shared" si="4"/>
        <v>-1</v>
      </c>
    </row>
    <row r="287" spans="1:3" x14ac:dyDescent="0.3">
      <c r="A287" s="335">
        <v>39625</v>
      </c>
      <c r="B287">
        <v>22.337164000000001</v>
      </c>
    </row>
    <row r="288" spans="1:3" x14ac:dyDescent="0.3">
      <c r="A288" s="335">
        <v>39626</v>
      </c>
      <c r="B288">
        <v>22.057949000000001</v>
      </c>
      <c r="C288" s="334">
        <f t="shared" si="4"/>
        <v>-1.2500020145798305E-2</v>
      </c>
    </row>
    <row r="289" spans="1:3" x14ac:dyDescent="0.3">
      <c r="A289" s="335">
        <v>39629</v>
      </c>
      <c r="B289">
        <v>22.057949000000001</v>
      </c>
      <c r="C289" s="334">
        <f t="shared" si="4"/>
        <v>0</v>
      </c>
    </row>
    <row r="290" spans="1:3" x14ac:dyDescent="0.3">
      <c r="A290" s="335">
        <v>39630</v>
      </c>
      <c r="B290">
        <v>22.057949000000001</v>
      </c>
      <c r="C290" s="334">
        <f t="shared" si="4"/>
        <v>0</v>
      </c>
    </row>
    <row r="291" spans="1:3" x14ac:dyDescent="0.3">
      <c r="A291" s="335">
        <v>39631</v>
      </c>
      <c r="B291">
        <v>22.895589999999999</v>
      </c>
      <c r="C291" s="334">
        <f t="shared" si="4"/>
        <v>3.797456418092171E-2</v>
      </c>
    </row>
    <row r="292" spans="1:3" x14ac:dyDescent="0.3">
      <c r="A292" s="335">
        <v>39632</v>
      </c>
      <c r="B292">
        <v>21.778734</v>
      </c>
      <c r="C292" s="334">
        <f t="shared" si="4"/>
        <v>-4.8780398321248704E-2</v>
      </c>
    </row>
    <row r="293" spans="1:3" x14ac:dyDescent="0.3">
      <c r="A293" s="335">
        <v>39633</v>
      </c>
      <c r="B293">
        <v>0</v>
      </c>
      <c r="C293" s="334">
        <f t="shared" si="4"/>
        <v>-1</v>
      </c>
    </row>
    <row r="294" spans="1:3" x14ac:dyDescent="0.3">
      <c r="A294" s="335">
        <v>39636</v>
      </c>
      <c r="B294">
        <v>0</v>
      </c>
    </row>
    <row r="295" spans="1:3" x14ac:dyDescent="0.3">
      <c r="A295" s="335">
        <v>39637</v>
      </c>
      <c r="B295">
        <v>0</v>
      </c>
    </row>
    <row r="296" spans="1:3" x14ac:dyDescent="0.3">
      <c r="A296" s="335">
        <v>39638</v>
      </c>
      <c r="B296">
        <v>21.778734</v>
      </c>
    </row>
    <row r="297" spans="1:3" x14ac:dyDescent="0.3">
      <c r="A297" s="335">
        <v>39639</v>
      </c>
      <c r="B297">
        <v>21.778734</v>
      </c>
      <c r="C297" s="334">
        <f t="shared" si="4"/>
        <v>0</v>
      </c>
    </row>
    <row r="298" spans="1:3" x14ac:dyDescent="0.3">
      <c r="A298" s="335">
        <v>39640</v>
      </c>
      <c r="B298">
        <v>21.862499</v>
      </c>
      <c r="C298" s="334">
        <f t="shared" si="4"/>
        <v>3.8461831619780859E-3</v>
      </c>
    </row>
    <row r="299" spans="1:3" x14ac:dyDescent="0.3">
      <c r="A299" s="335">
        <v>39643</v>
      </c>
      <c r="B299">
        <v>21.778734</v>
      </c>
      <c r="C299" s="334">
        <f t="shared" si="4"/>
        <v>-3.8314467161324806E-3</v>
      </c>
    </row>
    <row r="300" spans="1:3" x14ac:dyDescent="0.3">
      <c r="A300" s="335">
        <v>39644</v>
      </c>
      <c r="B300">
        <v>21.778734</v>
      </c>
      <c r="C300" s="334">
        <f t="shared" si="4"/>
        <v>0</v>
      </c>
    </row>
    <row r="301" spans="1:3" x14ac:dyDescent="0.3">
      <c r="A301" s="335">
        <v>39645</v>
      </c>
      <c r="B301">
        <v>0</v>
      </c>
      <c r="C301" s="334">
        <f t="shared" si="4"/>
        <v>-1</v>
      </c>
    </row>
    <row r="302" spans="1:3" x14ac:dyDescent="0.3">
      <c r="A302" s="335">
        <v>39646</v>
      </c>
      <c r="B302">
        <v>22.337164000000001</v>
      </c>
    </row>
    <row r="303" spans="1:3" x14ac:dyDescent="0.3">
      <c r="A303" s="335">
        <v>39647</v>
      </c>
      <c r="B303">
        <v>0</v>
      </c>
      <c r="C303" s="334">
        <f t="shared" si="4"/>
        <v>-1</v>
      </c>
    </row>
    <row r="304" spans="1:3" x14ac:dyDescent="0.3">
      <c r="A304" s="335">
        <v>39650</v>
      </c>
      <c r="B304">
        <v>0</v>
      </c>
    </row>
    <row r="305" spans="1:3" x14ac:dyDescent="0.3">
      <c r="A305" s="335">
        <v>39651</v>
      </c>
      <c r="B305">
        <v>20.159288</v>
      </c>
    </row>
    <row r="306" spans="1:3" x14ac:dyDescent="0.3">
      <c r="A306" s="335">
        <v>39652</v>
      </c>
      <c r="B306">
        <v>22.337164000000001</v>
      </c>
      <c r="C306" s="334">
        <f t="shared" si="4"/>
        <v>0.10803337895663781</v>
      </c>
    </row>
    <row r="307" spans="1:3" x14ac:dyDescent="0.3">
      <c r="A307" s="335">
        <v>39653</v>
      </c>
      <c r="B307">
        <v>0</v>
      </c>
      <c r="C307" s="334">
        <f t="shared" si="4"/>
        <v>-1</v>
      </c>
    </row>
    <row r="308" spans="1:3" x14ac:dyDescent="0.3">
      <c r="A308" s="335">
        <v>39654</v>
      </c>
      <c r="B308">
        <v>20.717718000000001</v>
      </c>
    </row>
    <row r="309" spans="1:3" x14ac:dyDescent="0.3">
      <c r="A309" s="335">
        <v>39657</v>
      </c>
      <c r="B309">
        <v>22.393004999999999</v>
      </c>
      <c r="C309" s="334">
        <f t="shared" si="4"/>
        <v>8.0862525496292456E-2</v>
      </c>
    </row>
    <row r="310" spans="1:3" x14ac:dyDescent="0.3">
      <c r="A310" s="335">
        <v>39658</v>
      </c>
      <c r="B310">
        <v>21.220306000000001</v>
      </c>
      <c r="C310" s="334">
        <f t="shared" si="4"/>
        <v>-5.2368987547673836E-2</v>
      </c>
    </row>
    <row r="311" spans="1:3" x14ac:dyDescent="0.3">
      <c r="A311" s="335">
        <v>39659</v>
      </c>
      <c r="B311">
        <v>21.220306000000001</v>
      </c>
      <c r="C311" s="334">
        <f t="shared" si="4"/>
        <v>0</v>
      </c>
    </row>
    <row r="312" spans="1:3" x14ac:dyDescent="0.3">
      <c r="A312" s="335">
        <v>39660</v>
      </c>
      <c r="B312">
        <v>22.281320999999998</v>
      </c>
      <c r="C312" s="334">
        <f t="shared" si="4"/>
        <v>4.9999985862597719E-2</v>
      </c>
    </row>
    <row r="313" spans="1:3" x14ac:dyDescent="0.3">
      <c r="A313" s="335">
        <v>39661</v>
      </c>
      <c r="B313">
        <v>0</v>
      </c>
      <c r="C313" s="334">
        <f t="shared" si="4"/>
        <v>-1</v>
      </c>
    </row>
    <row r="314" spans="1:3" x14ac:dyDescent="0.3">
      <c r="A314" s="335">
        <v>39664</v>
      </c>
      <c r="B314">
        <v>0</v>
      </c>
    </row>
    <row r="315" spans="1:3" x14ac:dyDescent="0.3">
      <c r="A315" s="335">
        <v>39665</v>
      </c>
      <c r="B315">
        <v>0</v>
      </c>
    </row>
    <row r="316" spans="1:3" x14ac:dyDescent="0.3">
      <c r="A316" s="335">
        <v>39666</v>
      </c>
      <c r="B316">
        <v>0</v>
      </c>
    </row>
    <row r="317" spans="1:3" x14ac:dyDescent="0.3">
      <c r="A317" s="335">
        <v>39667</v>
      </c>
      <c r="B317">
        <v>21.499518999999999</v>
      </c>
    </row>
    <row r="318" spans="1:3" x14ac:dyDescent="0.3">
      <c r="A318" s="335">
        <v>39668</v>
      </c>
      <c r="B318">
        <v>20.941089999999999</v>
      </c>
      <c r="C318" s="334">
        <f t="shared" si="4"/>
        <v>-2.597402295372284E-2</v>
      </c>
    </row>
    <row r="319" spans="1:3" x14ac:dyDescent="0.3">
      <c r="A319" s="335">
        <v>39671</v>
      </c>
      <c r="B319">
        <v>0</v>
      </c>
      <c r="C319" s="334">
        <f t="shared" si="4"/>
        <v>-1</v>
      </c>
    </row>
    <row r="320" spans="1:3" x14ac:dyDescent="0.3">
      <c r="A320" s="335">
        <v>39672</v>
      </c>
      <c r="B320">
        <v>0</v>
      </c>
    </row>
    <row r="321" spans="1:3" x14ac:dyDescent="0.3">
      <c r="A321" s="335">
        <v>39673</v>
      </c>
      <c r="B321">
        <v>21.499518999999999</v>
      </c>
    </row>
    <row r="322" spans="1:3" x14ac:dyDescent="0.3">
      <c r="A322" s="335">
        <v>39674</v>
      </c>
      <c r="B322">
        <v>0</v>
      </c>
      <c r="C322" s="334">
        <f t="shared" si="4"/>
        <v>-1</v>
      </c>
    </row>
    <row r="323" spans="1:3" x14ac:dyDescent="0.3">
      <c r="A323" s="335">
        <v>39675</v>
      </c>
      <c r="B323">
        <v>0</v>
      </c>
    </row>
    <row r="324" spans="1:3" x14ac:dyDescent="0.3">
      <c r="A324" s="335">
        <v>39678</v>
      </c>
      <c r="B324">
        <v>0</v>
      </c>
    </row>
    <row r="325" spans="1:3" x14ac:dyDescent="0.3">
      <c r="A325" s="335">
        <v>39679</v>
      </c>
      <c r="B325">
        <v>19.880074</v>
      </c>
    </row>
    <row r="326" spans="1:3" x14ac:dyDescent="0.3">
      <c r="A326" s="335">
        <v>39680</v>
      </c>
      <c r="B326">
        <v>19.545019</v>
      </c>
      <c r="C326" s="334">
        <f t="shared" ref="C326:C389" si="5">(B326-B325)/B325</f>
        <v>-1.6853810503924711E-2</v>
      </c>
    </row>
    <row r="327" spans="1:3" x14ac:dyDescent="0.3">
      <c r="A327" s="335">
        <v>39681</v>
      </c>
      <c r="B327">
        <v>20.103449000000001</v>
      </c>
      <c r="C327" s="334">
        <f t="shared" si="5"/>
        <v>2.8571473888053079E-2</v>
      </c>
    </row>
    <row r="328" spans="1:3" x14ac:dyDescent="0.3">
      <c r="A328" s="335">
        <v>39682</v>
      </c>
      <c r="B328">
        <v>20.103449000000001</v>
      </c>
      <c r="C328" s="334">
        <f t="shared" si="5"/>
        <v>0</v>
      </c>
    </row>
    <row r="329" spans="1:3" x14ac:dyDescent="0.3">
      <c r="A329" s="335">
        <v>39685</v>
      </c>
      <c r="B329">
        <v>19.545019</v>
      </c>
      <c r="C329" s="334">
        <f t="shared" si="5"/>
        <v>-2.777782061177668E-2</v>
      </c>
    </row>
    <row r="330" spans="1:3" x14ac:dyDescent="0.3">
      <c r="A330" s="335">
        <v>39686</v>
      </c>
      <c r="B330">
        <v>19.545019</v>
      </c>
      <c r="C330" s="334">
        <f t="shared" si="5"/>
        <v>0</v>
      </c>
    </row>
    <row r="331" spans="1:3" x14ac:dyDescent="0.3">
      <c r="A331" s="335">
        <v>39687</v>
      </c>
      <c r="B331">
        <v>19.489172</v>
      </c>
      <c r="C331" s="334">
        <f t="shared" si="5"/>
        <v>-2.8573520445285818E-3</v>
      </c>
    </row>
    <row r="332" spans="1:3" x14ac:dyDescent="0.3">
      <c r="A332" s="335">
        <v>39688</v>
      </c>
      <c r="B332">
        <v>0</v>
      </c>
      <c r="C332" s="334">
        <f t="shared" si="5"/>
        <v>-1</v>
      </c>
    </row>
    <row r="333" spans="1:3" x14ac:dyDescent="0.3">
      <c r="A333" s="335">
        <v>39689</v>
      </c>
      <c r="B333">
        <v>19.209962999999998</v>
      </c>
    </row>
    <row r="334" spans="1:3" x14ac:dyDescent="0.3">
      <c r="A334" s="335">
        <v>39692</v>
      </c>
      <c r="B334">
        <v>0</v>
      </c>
      <c r="C334" s="334">
        <f t="shared" si="5"/>
        <v>-1</v>
      </c>
    </row>
    <row r="335" spans="1:3" x14ac:dyDescent="0.3">
      <c r="A335" s="335">
        <v>39693</v>
      </c>
      <c r="B335">
        <v>20.606033</v>
      </c>
    </row>
    <row r="336" spans="1:3" x14ac:dyDescent="0.3">
      <c r="A336" s="335">
        <v>39694</v>
      </c>
      <c r="B336">
        <v>19.545019</v>
      </c>
      <c r="C336" s="334">
        <f t="shared" si="5"/>
        <v>-5.1490454276182131E-2</v>
      </c>
    </row>
    <row r="337" spans="1:3" x14ac:dyDescent="0.3">
      <c r="A337" s="335">
        <v>39695</v>
      </c>
      <c r="B337">
        <v>18.484003000000001</v>
      </c>
      <c r="C337" s="334">
        <f t="shared" si="5"/>
        <v>-5.4285749223369831E-2</v>
      </c>
    </row>
    <row r="338" spans="1:3" x14ac:dyDescent="0.3">
      <c r="A338" s="335">
        <v>39696</v>
      </c>
      <c r="B338">
        <v>19.545019</v>
      </c>
      <c r="C338" s="334">
        <f t="shared" si="5"/>
        <v>5.7401851752566721E-2</v>
      </c>
    </row>
    <row r="339" spans="1:3" x14ac:dyDescent="0.3">
      <c r="A339" s="335">
        <v>39699</v>
      </c>
      <c r="B339">
        <v>0</v>
      </c>
      <c r="C339" s="334">
        <f t="shared" si="5"/>
        <v>-1</v>
      </c>
    </row>
    <row r="340" spans="1:3" x14ac:dyDescent="0.3">
      <c r="A340" s="335">
        <v>39700</v>
      </c>
      <c r="B340">
        <v>0</v>
      </c>
    </row>
    <row r="341" spans="1:3" x14ac:dyDescent="0.3">
      <c r="A341" s="335">
        <v>39701</v>
      </c>
      <c r="B341">
        <v>18.148949000000002</v>
      </c>
    </row>
    <row r="342" spans="1:3" x14ac:dyDescent="0.3">
      <c r="A342" s="335">
        <v>39702</v>
      </c>
      <c r="B342">
        <v>18.148949000000002</v>
      </c>
      <c r="C342" s="334">
        <f t="shared" si="5"/>
        <v>0</v>
      </c>
    </row>
    <row r="343" spans="1:3" x14ac:dyDescent="0.3">
      <c r="A343" s="335">
        <v>39703</v>
      </c>
      <c r="B343">
        <v>17.869730000000001</v>
      </c>
      <c r="C343" s="334">
        <f t="shared" si="5"/>
        <v>-1.5384857822896588E-2</v>
      </c>
    </row>
    <row r="344" spans="1:3" x14ac:dyDescent="0.3">
      <c r="A344" s="335">
        <v>39706</v>
      </c>
      <c r="B344">
        <v>18.148949000000002</v>
      </c>
      <c r="C344" s="334">
        <f t="shared" si="5"/>
        <v>1.5625250073728097E-2</v>
      </c>
    </row>
    <row r="345" spans="1:3" x14ac:dyDescent="0.3">
      <c r="A345" s="335">
        <v>39707</v>
      </c>
      <c r="B345">
        <v>18.093102999999999</v>
      </c>
      <c r="C345" s="334">
        <f t="shared" si="5"/>
        <v>-3.0770927837200104E-3</v>
      </c>
    </row>
    <row r="346" spans="1:3" x14ac:dyDescent="0.3">
      <c r="A346" s="335">
        <v>39708</v>
      </c>
      <c r="B346">
        <v>15.524327</v>
      </c>
      <c r="C346" s="334">
        <f t="shared" si="5"/>
        <v>-0.14197542566358021</v>
      </c>
    </row>
    <row r="347" spans="1:3" x14ac:dyDescent="0.3">
      <c r="A347" s="335">
        <v>39709</v>
      </c>
      <c r="B347">
        <v>17.255458999999998</v>
      </c>
      <c r="C347" s="334">
        <f t="shared" si="5"/>
        <v>0.111510920892094</v>
      </c>
    </row>
    <row r="348" spans="1:3" x14ac:dyDescent="0.3">
      <c r="A348" s="335">
        <v>39710</v>
      </c>
      <c r="B348">
        <v>18.148949000000002</v>
      </c>
      <c r="C348" s="334">
        <f t="shared" si="5"/>
        <v>5.1780135202430924E-2</v>
      </c>
    </row>
    <row r="349" spans="1:3" x14ac:dyDescent="0.3">
      <c r="A349" s="335">
        <v>39713</v>
      </c>
      <c r="B349">
        <v>18.428158</v>
      </c>
      <c r="C349" s="334">
        <f t="shared" si="5"/>
        <v>1.538430682680292E-2</v>
      </c>
    </row>
    <row r="350" spans="1:3" x14ac:dyDescent="0.3">
      <c r="A350" s="335">
        <v>39714</v>
      </c>
      <c r="B350">
        <v>0</v>
      </c>
      <c r="C350" s="334">
        <f t="shared" si="5"/>
        <v>-1</v>
      </c>
    </row>
    <row r="351" spans="1:3" x14ac:dyDescent="0.3">
      <c r="A351" s="335">
        <v>39715</v>
      </c>
      <c r="B351">
        <v>16.306131000000001</v>
      </c>
      <c r="C351" s="334" t="e">
        <f t="shared" si="5"/>
        <v>#DIV/0!</v>
      </c>
    </row>
    <row r="352" spans="1:3" x14ac:dyDescent="0.3">
      <c r="A352" s="335">
        <v>39716</v>
      </c>
      <c r="B352">
        <v>16.473659999999999</v>
      </c>
      <c r="C352" s="334">
        <f t="shared" si="5"/>
        <v>1.0273988354441545E-2</v>
      </c>
    </row>
    <row r="353" spans="1:3" x14ac:dyDescent="0.3">
      <c r="A353" s="335">
        <v>39717</v>
      </c>
      <c r="B353">
        <v>16.194447</v>
      </c>
      <c r="C353" s="334">
        <f t="shared" si="5"/>
        <v>-1.6949056858038748E-2</v>
      </c>
    </row>
    <row r="354" spans="1:3" x14ac:dyDescent="0.3">
      <c r="A354" s="335">
        <v>39720</v>
      </c>
      <c r="B354">
        <v>15.636013</v>
      </c>
      <c r="C354" s="334">
        <f t="shared" si="5"/>
        <v>-3.4483054592725527E-2</v>
      </c>
    </row>
    <row r="355" spans="1:3" x14ac:dyDescent="0.3">
      <c r="A355" s="335">
        <v>39721</v>
      </c>
      <c r="B355">
        <v>15.636013</v>
      </c>
      <c r="C355" s="334">
        <f t="shared" si="5"/>
        <v>0</v>
      </c>
    </row>
    <row r="356" spans="1:3" x14ac:dyDescent="0.3">
      <c r="A356" s="335">
        <v>39722</v>
      </c>
      <c r="B356">
        <v>15.915229</v>
      </c>
      <c r="C356" s="334">
        <f t="shared" si="5"/>
        <v>1.7857237647474451E-2</v>
      </c>
    </row>
    <row r="357" spans="1:3" x14ac:dyDescent="0.3">
      <c r="A357" s="335">
        <v>39723</v>
      </c>
      <c r="B357">
        <v>17.311304</v>
      </c>
      <c r="C357" s="334">
        <f t="shared" si="5"/>
        <v>8.7719441548720398E-2</v>
      </c>
    </row>
    <row r="358" spans="1:3" x14ac:dyDescent="0.3">
      <c r="A358" s="335">
        <v>39724</v>
      </c>
      <c r="B358">
        <v>17.590515</v>
      </c>
      <c r="C358" s="334">
        <f t="shared" si="5"/>
        <v>1.6128825419506242E-2</v>
      </c>
    </row>
    <row r="359" spans="1:3" x14ac:dyDescent="0.3">
      <c r="A359" s="335">
        <v>39727</v>
      </c>
      <c r="B359">
        <v>16.473659999999999</v>
      </c>
      <c r="C359" s="334">
        <f t="shared" si="5"/>
        <v>-6.3491887531433908E-2</v>
      </c>
    </row>
    <row r="360" spans="1:3" x14ac:dyDescent="0.3">
      <c r="A360" s="335">
        <v>39728</v>
      </c>
      <c r="B360">
        <v>16.752872</v>
      </c>
      <c r="C360" s="334">
        <f t="shared" si="5"/>
        <v>1.6948996155074291E-2</v>
      </c>
    </row>
    <row r="361" spans="1:3" x14ac:dyDescent="0.3">
      <c r="A361" s="335">
        <v>39729</v>
      </c>
      <c r="B361">
        <v>16.752872</v>
      </c>
      <c r="C361" s="334">
        <f t="shared" si="5"/>
        <v>0</v>
      </c>
    </row>
    <row r="362" spans="1:3" x14ac:dyDescent="0.3">
      <c r="A362" s="335">
        <v>39730</v>
      </c>
      <c r="B362">
        <v>15.636013</v>
      </c>
      <c r="C362" s="334">
        <f t="shared" si="5"/>
        <v>-6.6666718399090011E-2</v>
      </c>
    </row>
    <row r="363" spans="1:3" x14ac:dyDescent="0.3">
      <c r="A363" s="335">
        <v>39731</v>
      </c>
      <c r="B363">
        <v>16.194447</v>
      </c>
      <c r="C363" s="334">
        <f t="shared" si="5"/>
        <v>3.5714603204793964E-2</v>
      </c>
    </row>
    <row r="364" spans="1:3" x14ac:dyDescent="0.3">
      <c r="A364" s="335">
        <v>39734</v>
      </c>
      <c r="B364">
        <v>16.194447</v>
      </c>
      <c r="C364" s="334">
        <f t="shared" si="5"/>
        <v>0</v>
      </c>
    </row>
    <row r="365" spans="1:3" x14ac:dyDescent="0.3">
      <c r="A365" s="335">
        <v>39735</v>
      </c>
      <c r="B365">
        <v>15.636013</v>
      </c>
      <c r="C365" s="334">
        <f t="shared" si="5"/>
        <v>-3.4483054592725527E-2</v>
      </c>
    </row>
    <row r="366" spans="1:3" x14ac:dyDescent="0.3">
      <c r="A366" s="335">
        <v>39736</v>
      </c>
      <c r="B366">
        <v>14.519157</v>
      </c>
      <c r="C366" s="334">
        <f t="shared" si="5"/>
        <v>-7.1428438950517648E-2</v>
      </c>
    </row>
    <row r="367" spans="1:3" x14ac:dyDescent="0.3">
      <c r="A367" s="335">
        <v>39737</v>
      </c>
      <c r="B367">
        <v>14.184099</v>
      </c>
      <c r="C367" s="334">
        <f t="shared" si="5"/>
        <v>-2.3076959633400208E-2</v>
      </c>
    </row>
    <row r="368" spans="1:3" x14ac:dyDescent="0.3">
      <c r="A368" s="335">
        <v>39738</v>
      </c>
      <c r="B368">
        <v>14.519157</v>
      </c>
      <c r="C368" s="334">
        <f t="shared" si="5"/>
        <v>2.362208554804927E-2</v>
      </c>
    </row>
    <row r="369" spans="1:3" x14ac:dyDescent="0.3">
      <c r="A369" s="335">
        <v>39741</v>
      </c>
      <c r="B369">
        <v>13.402298999999999</v>
      </c>
      <c r="C369" s="334">
        <f t="shared" si="5"/>
        <v>-7.6923061028956477E-2</v>
      </c>
    </row>
    <row r="370" spans="1:3" x14ac:dyDescent="0.3">
      <c r="A370" s="335">
        <v>39742</v>
      </c>
      <c r="B370">
        <v>15.636013</v>
      </c>
      <c r="C370" s="334">
        <f t="shared" si="5"/>
        <v>0.16666648013150587</v>
      </c>
    </row>
    <row r="371" spans="1:3" x14ac:dyDescent="0.3">
      <c r="A371" s="335">
        <v>39743</v>
      </c>
      <c r="B371">
        <v>14.239943</v>
      </c>
      <c r="C371" s="334">
        <f t="shared" si="5"/>
        <v>-8.9285548688147032E-2</v>
      </c>
    </row>
    <row r="372" spans="1:3" x14ac:dyDescent="0.3">
      <c r="A372" s="335">
        <v>39744</v>
      </c>
      <c r="B372">
        <v>14.239943</v>
      </c>
      <c r="C372" s="334">
        <f t="shared" si="5"/>
        <v>0</v>
      </c>
    </row>
    <row r="373" spans="1:3" x14ac:dyDescent="0.3">
      <c r="A373" s="335">
        <v>39745</v>
      </c>
      <c r="B373">
        <v>14.519157</v>
      </c>
      <c r="C373" s="334">
        <f t="shared" si="5"/>
        <v>1.9607803205392019E-2</v>
      </c>
    </row>
    <row r="374" spans="1:3" x14ac:dyDescent="0.3">
      <c r="A374" s="335">
        <v>39748</v>
      </c>
      <c r="B374">
        <v>14.519157</v>
      </c>
      <c r="C374" s="334">
        <f t="shared" si="5"/>
        <v>0</v>
      </c>
    </row>
    <row r="375" spans="1:3" x14ac:dyDescent="0.3">
      <c r="A375" s="335">
        <v>39749</v>
      </c>
      <c r="B375">
        <v>13.123085</v>
      </c>
      <c r="C375" s="334">
        <f t="shared" si="5"/>
        <v>-9.6153791848934494E-2</v>
      </c>
    </row>
    <row r="376" spans="1:3" x14ac:dyDescent="0.3">
      <c r="A376" s="335">
        <v>39750</v>
      </c>
      <c r="B376">
        <v>13.123085</v>
      </c>
      <c r="C376" s="334">
        <f t="shared" si="5"/>
        <v>0</v>
      </c>
    </row>
    <row r="377" spans="1:3" x14ac:dyDescent="0.3">
      <c r="A377" s="335">
        <v>39751</v>
      </c>
      <c r="B377">
        <v>14.519157</v>
      </c>
      <c r="C377" s="334">
        <f t="shared" si="5"/>
        <v>0.10638291224967301</v>
      </c>
    </row>
    <row r="378" spans="1:3" x14ac:dyDescent="0.3">
      <c r="A378" s="335">
        <v>39752</v>
      </c>
      <c r="B378">
        <v>15.356802</v>
      </c>
      <c r="C378" s="334">
        <f t="shared" si="5"/>
        <v>5.7692399083500524E-2</v>
      </c>
    </row>
    <row r="379" spans="1:3" x14ac:dyDescent="0.3">
      <c r="A379" s="335">
        <v>39755</v>
      </c>
      <c r="B379">
        <v>15.636013</v>
      </c>
      <c r="C379" s="334">
        <f t="shared" si="5"/>
        <v>1.8181584941969045E-2</v>
      </c>
    </row>
    <row r="380" spans="1:3" x14ac:dyDescent="0.3">
      <c r="A380" s="335">
        <v>39756</v>
      </c>
      <c r="B380">
        <v>16.752872</v>
      </c>
      <c r="C380" s="334">
        <f t="shared" si="5"/>
        <v>7.1428630815285193E-2</v>
      </c>
    </row>
    <row r="381" spans="1:3" x14ac:dyDescent="0.3">
      <c r="A381" s="335">
        <v>39757</v>
      </c>
      <c r="B381">
        <v>18.986588999999999</v>
      </c>
      <c r="C381" s="334">
        <f t="shared" si="5"/>
        <v>0.13333337710692225</v>
      </c>
    </row>
    <row r="382" spans="1:3" x14ac:dyDescent="0.3">
      <c r="A382" s="335">
        <v>39758</v>
      </c>
      <c r="B382">
        <v>16.194447</v>
      </c>
      <c r="C382" s="334">
        <f t="shared" si="5"/>
        <v>-0.14705864228693202</v>
      </c>
    </row>
    <row r="383" spans="1:3" x14ac:dyDescent="0.3">
      <c r="A383" s="335">
        <v>39759</v>
      </c>
      <c r="B383">
        <v>17.311304</v>
      </c>
      <c r="C383" s="334">
        <f t="shared" si="5"/>
        <v>6.8965429940275172E-2</v>
      </c>
    </row>
    <row r="384" spans="1:3" x14ac:dyDescent="0.3">
      <c r="A384" s="335">
        <v>39762</v>
      </c>
      <c r="B384">
        <v>0</v>
      </c>
      <c r="C384" s="334">
        <f t="shared" si="5"/>
        <v>-1</v>
      </c>
    </row>
    <row r="385" spans="1:3" x14ac:dyDescent="0.3">
      <c r="A385" s="335">
        <v>39763</v>
      </c>
      <c r="B385">
        <v>16.976244000000001</v>
      </c>
    </row>
    <row r="386" spans="1:3" x14ac:dyDescent="0.3">
      <c r="A386" s="335">
        <v>39764</v>
      </c>
      <c r="B386">
        <v>16.194447</v>
      </c>
      <c r="C386" s="334">
        <f t="shared" si="5"/>
        <v>-4.6052413007258902E-2</v>
      </c>
    </row>
    <row r="387" spans="1:3" x14ac:dyDescent="0.3">
      <c r="A387" s="335">
        <v>39765</v>
      </c>
      <c r="B387">
        <v>16.752872</v>
      </c>
      <c r="C387" s="334">
        <f t="shared" si="5"/>
        <v>3.4482498846672552E-2</v>
      </c>
    </row>
    <row r="388" spans="1:3" x14ac:dyDescent="0.3">
      <c r="A388" s="335">
        <v>39766</v>
      </c>
      <c r="B388">
        <v>16.920400999999998</v>
      </c>
      <c r="C388" s="334">
        <f t="shared" si="5"/>
        <v>1.0000016713552056E-2</v>
      </c>
    </row>
    <row r="389" spans="1:3" x14ac:dyDescent="0.3">
      <c r="A389" s="335">
        <v>39769</v>
      </c>
      <c r="B389">
        <v>17.311304</v>
      </c>
      <c r="C389" s="334">
        <f t="shared" si="5"/>
        <v>2.3102466661398958E-2</v>
      </c>
    </row>
    <row r="390" spans="1:3" x14ac:dyDescent="0.3">
      <c r="A390" s="335">
        <v>39770</v>
      </c>
      <c r="B390">
        <v>16.026914999999999</v>
      </c>
      <c r="C390" s="334">
        <f t="shared" ref="C390:C453" si="6">(B390-B389)/B389</f>
        <v>-7.419365981904083E-2</v>
      </c>
    </row>
    <row r="391" spans="1:3" x14ac:dyDescent="0.3">
      <c r="A391" s="335">
        <v>39771</v>
      </c>
      <c r="B391">
        <v>16.752872</v>
      </c>
      <c r="C391" s="334">
        <f t="shared" si="6"/>
        <v>4.5296115939967303E-2</v>
      </c>
    </row>
    <row r="392" spans="1:3" x14ac:dyDescent="0.3">
      <c r="A392" s="335">
        <v>39772</v>
      </c>
      <c r="B392">
        <v>16.752872</v>
      </c>
      <c r="C392" s="334">
        <f t="shared" si="6"/>
        <v>0</v>
      </c>
    </row>
    <row r="393" spans="1:3" x14ac:dyDescent="0.3">
      <c r="A393" s="335">
        <v>39773</v>
      </c>
      <c r="B393">
        <v>16.752872</v>
      </c>
      <c r="C393" s="334">
        <f t="shared" si="6"/>
        <v>0</v>
      </c>
    </row>
    <row r="394" spans="1:3" x14ac:dyDescent="0.3">
      <c r="A394" s="335">
        <v>39776</v>
      </c>
      <c r="B394">
        <v>16.473659999999999</v>
      </c>
      <c r="C394" s="334">
        <f t="shared" si="6"/>
        <v>-1.6666515448813857E-2</v>
      </c>
    </row>
    <row r="395" spans="1:3" x14ac:dyDescent="0.3">
      <c r="A395" s="335">
        <v>39777</v>
      </c>
      <c r="B395">
        <v>16.194447</v>
      </c>
      <c r="C395" s="334">
        <f t="shared" si="6"/>
        <v>-1.6949056858038748E-2</v>
      </c>
    </row>
    <row r="396" spans="1:3" x14ac:dyDescent="0.3">
      <c r="A396" s="335">
        <v>39778</v>
      </c>
      <c r="B396">
        <v>16.473659999999999</v>
      </c>
      <c r="C396" s="334">
        <f t="shared" si="6"/>
        <v>1.7241280298116918E-2</v>
      </c>
    </row>
    <row r="397" spans="1:3" x14ac:dyDescent="0.3">
      <c r="A397" s="335">
        <v>39779</v>
      </c>
      <c r="B397">
        <v>16.752872</v>
      </c>
      <c r="C397" s="334">
        <f t="shared" si="6"/>
        <v>1.6948996155074291E-2</v>
      </c>
    </row>
    <row r="398" spans="1:3" x14ac:dyDescent="0.3">
      <c r="A398" s="335">
        <v>39780</v>
      </c>
      <c r="B398">
        <v>16.752872</v>
      </c>
      <c r="C398" s="334">
        <f t="shared" si="6"/>
        <v>0</v>
      </c>
    </row>
    <row r="399" spans="1:3" x14ac:dyDescent="0.3">
      <c r="A399" s="335">
        <v>39783</v>
      </c>
      <c r="B399">
        <v>17.311304</v>
      </c>
      <c r="C399" s="334">
        <f t="shared" si="6"/>
        <v>3.3333508427689285E-2</v>
      </c>
    </row>
    <row r="400" spans="1:3" x14ac:dyDescent="0.3">
      <c r="A400" s="335">
        <v>39784</v>
      </c>
      <c r="B400">
        <v>16.752872</v>
      </c>
      <c r="C400" s="334">
        <f t="shared" si="6"/>
        <v>-3.22582284962473E-2</v>
      </c>
    </row>
    <row r="401" spans="1:3" x14ac:dyDescent="0.3">
      <c r="A401" s="335">
        <v>39785</v>
      </c>
      <c r="B401">
        <v>16.752872</v>
      </c>
      <c r="C401" s="334">
        <f t="shared" si="6"/>
        <v>0</v>
      </c>
    </row>
    <row r="402" spans="1:3" x14ac:dyDescent="0.3">
      <c r="A402" s="335">
        <v>39786</v>
      </c>
      <c r="B402">
        <v>17.646357999999999</v>
      </c>
      <c r="C402" s="334">
        <f t="shared" si="6"/>
        <v>5.3333303089762717E-2</v>
      </c>
    </row>
    <row r="403" spans="1:3" x14ac:dyDescent="0.3">
      <c r="A403" s="335">
        <v>39787</v>
      </c>
      <c r="B403">
        <v>17.311304</v>
      </c>
      <c r="C403" s="334">
        <f t="shared" si="6"/>
        <v>-1.898714737624611E-2</v>
      </c>
    </row>
    <row r="404" spans="1:3" x14ac:dyDescent="0.3">
      <c r="A404" s="335">
        <v>39790</v>
      </c>
      <c r="B404">
        <v>16.752872</v>
      </c>
      <c r="C404" s="334">
        <f t="shared" si="6"/>
        <v>-3.22582284962473E-2</v>
      </c>
    </row>
    <row r="405" spans="1:3" x14ac:dyDescent="0.3">
      <c r="A405" s="335">
        <v>39791</v>
      </c>
      <c r="B405">
        <v>15.915229</v>
      </c>
      <c r="C405" s="334">
        <f t="shared" si="6"/>
        <v>-4.9999964185245369E-2</v>
      </c>
    </row>
    <row r="406" spans="1:3" x14ac:dyDescent="0.3">
      <c r="A406" s="335">
        <v>39792</v>
      </c>
      <c r="B406">
        <v>0</v>
      </c>
      <c r="C406" s="334">
        <f t="shared" si="6"/>
        <v>-1</v>
      </c>
    </row>
    <row r="407" spans="1:3" x14ac:dyDescent="0.3">
      <c r="A407" s="335">
        <v>39793</v>
      </c>
      <c r="B407">
        <v>15.636013</v>
      </c>
    </row>
    <row r="408" spans="1:3" x14ac:dyDescent="0.3">
      <c r="A408" s="335">
        <v>39794</v>
      </c>
      <c r="B408">
        <v>13.960728</v>
      </c>
      <c r="C408" s="334">
        <f t="shared" si="6"/>
        <v>-0.10714272238069901</v>
      </c>
    </row>
    <row r="409" spans="1:3" x14ac:dyDescent="0.3">
      <c r="A409" s="335">
        <v>39797</v>
      </c>
      <c r="B409">
        <v>13.234769999999999</v>
      </c>
      <c r="C409" s="334">
        <f t="shared" si="6"/>
        <v>-5.2000010314648376E-2</v>
      </c>
    </row>
    <row r="410" spans="1:3" x14ac:dyDescent="0.3">
      <c r="A410" s="335">
        <v>39798</v>
      </c>
      <c r="B410">
        <v>13.123085</v>
      </c>
      <c r="C410" s="334">
        <f t="shared" si="6"/>
        <v>-8.4387563969755119E-3</v>
      </c>
    </row>
    <row r="411" spans="1:3" x14ac:dyDescent="0.3">
      <c r="A411" s="335">
        <v>39799</v>
      </c>
      <c r="B411">
        <v>13.458142</v>
      </c>
      <c r="C411" s="334">
        <f t="shared" si="6"/>
        <v>2.553187760347516E-2</v>
      </c>
    </row>
    <row r="412" spans="1:3" x14ac:dyDescent="0.3">
      <c r="A412" s="335">
        <v>39800</v>
      </c>
      <c r="B412">
        <v>0</v>
      </c>
      <c r="C412" s="334">
        <f t="shared" si="6"/>
        <v>-1</v>
      </c>
    </row>
    <row r="413" spans="1:3" x14ac:dyDescent="0.3">
      <c r="A413" s="335">
        <v>39801</v>
      </c>
      <c r="B413">
        <v>14.351626</v>
      </c>
    </row>
    <row r="414" spans="1:3" x14ac:dyDescent="0.3">
      <c r="A414" s="335">
        <v>39804</v>
      </c>
      <c r="B414">
        <v>14.519157</v>
      </c>
      <c r="C414" s="334">
        <f t="shared" si="6"/>
        <v>1.1673311442201764E-2</v>
      </c>
    </row>
    <row r="415" spans="1:3" x14ac:dyDescent="0.3">
      <c r="A415" s="335">
        <v>39805</v>
      </c>
      <c r="B415">
        <v>14.519157</v>
      </c>
      <c r="C415" s="334">
        <f t="shared" si="6"/>
        <v>0</v>
      </c>
    </row>
    <row r="416" spans="1:3" x14ac:dyDescent="0.3">
      <c r="A416" s="335">
        <v>39811</v>
      </c>
      <c r="B416">
        <v>0</v>
      </c>
      <c r="C416" s="334">
        <f t="shared" si="6"/>
        <v>-1</v>
      </c>
    </row>
    <row r="417" spans="1:3" x14ac:dyDescent="0.3">
      <c r="A417" s="335">
        <v>39812</v>
      </c>
      <c r="B417">
        <v>14.519157</v>
      </c>
    </row>
    <row r="418" spans="1:3" x14ac:dyDescent="0.3">
      <c r="A418" s="335">
        <v>39815</v>
      </c>
      <c r="B418">
        <v>0</v>
      </c>
      <c r="C418" s="334">
        <f t="shared" si="6"/>
        <v>-1</v>
      </c>
    </row>
    <row r="419" spans="1:3" x14ac:dyDescent="0.3">
      <c r="A419" s="335">
        <v>39818</v>
      </c>
      <c r="B419">
        <v>15.077584</v>
      </c>
    </row>
    <row r="420" spans="1:3" x14ac:dyDescent="0.3">
      <c r="A420" s="335">
        <v>39819</v>
      </c>
      <c r="B420">
        <v>14.798370999999999</v>
      </c>
      <c r="C420" s="334">
        <f t="shared" si="6"/>
        <v>-1.8518417804868497E-2</v>
      </c>
    </row>
    <row r="421" spans="1:3" x14ac:dyDescent="0.3">
      <c r="A421" s="335">
        <v>39820</v>
      </c>
      <c r="B421">
        <v>14.519157</v>
      </c>
      <c r="C421" s="334">
        <f t="shared" si="6"/>
        <v>-1.8867887553298917E-2</v>
      </c>
    </row>
    <row r="422" spans="1:3" x14ac:dyDescent="0.3">
      <c r="A422" s="335">
        <v>39821</v>
      </c>
      <c r="B422">
        <v>14.519157</v>
      </c>
      <c r="C422" s="334">
        <f t="shared" si="6"/>
        <v>0</v>
      </c>
    </row>
    <row r="423" spans="1:3" x14ac:dyDescent="0.3">
      <c r="A423" s="335">
        <v>39822</v>
      </c>
      <c r="B423">
        <v>0</v>
      </c>
      <c r="C423" s="334">
        <f t="shared" si="6"/>
        <v>-1</v>
      </c>
    </row>
    <row r="424" spans="1:3" x14ac:dyDescent="0.3">
      <c r="A424" s="335">
        <v>39825</v>
      </c>
      <c r="B424">
        <v>0</v>
      </c>
    </row>
    <row r="425" spans="1:3" x14ac:dyDescent="0.3">
      <c r="A425" s="335">
        <v>39826</v>
      </c>
      <c r="B425">
        <v>13.402298999999999</v>
      </c>
    </row>
    <row r="426" spans="1:3" x14ac:dyDescent="0.3">
      <c r="A426" s="335">
        <v>39827</v>
      </c>
      <c r="B426">
        <v>0</v>
      </c>
      <c r="C426" s="334">
        <f t="shared" si="6"/>
        <v>-1</v>
      </c>
    </row>
    <row r="427" spans="1:3" x14ac:dyDescent="0.3">
      <c r="A427" s="335">
        <v>39828</v>
      </c>
      <c r="B427">
        <v>0</v>
      </c>
    </row>
    <row r="428" spans="1:3" x14ac:dyDescent="0.3">
      <c r="A428" s="335">
        <v>39829</v>
      </c>
      <c r="B428">
        <v>12.843871999999999</v>
      </c>
    </row>
    <row r="429" spans="1:3" x14ac:dyDescent="0.3">
      <c r="A429" s="335">
        <v>39832</v>
      </c>
      <c r="B429">
        <v>0</v>
      </c>
      <c r="C429" s="334">
        <f t="shared" si="6"/>
        <v>-1</v>
      </c>
    </row>
    <row r="430" spans="1:3" x14ac:dyDescent="0.3">
      <c r="A430" s="335">
        <v>39833</v>
      </c>
      <c r="B430">
        <v>12.285441</v>
      </c>
    </row>
    <row r="431" spans="1:3" x14ac:dyDescent="0.3">
      <c r="A431" s="335">
        <v>39834</v>
      </c>
      <c r="B431">
        <v>12.285441</v>
      </c>
      <c r="C431" s="334">
        <f t="shared" si="6"/>
        <v>0</v>
      </c>
    </row>
    <row r="432" spans="1:3" x14ac:dyDescent="0.3">
      <c r="A432" s="335">
        <v>39835</v>
      </c>
      <c r="B432">
        <v>0</v>
      </c>
      <c r="C432" s="334">
        <f t="shared" si="6"/>
        <v>-1</v>
      </c>
    </row>
    <row r="433" spans="1:3" x14ac:dyDescent="0.3">
      <c r="A433" s="335">
        <v>39836</v>
      </c>
      <c r="B433">
        <v>0</v>
      </c>
    </row>
    <row r="434" spans="1:3" x14ac:dyDescent="0.3">
      <c r="A434" s="335">
        <v>39839</v>
      </c>
      <c r="B434">
        <v>0</v>
      </c>
    </row>
    <row r="435" spans="1:3" x14ac:dyDescent="0.3">
      <c r="A435" s="335">
        <v>39840</v>
      </c>
      <c r="B435">
        <v>0</v>
      </c>
    </row>
    <row r="436" spans="1:3" x14ac:dyDescent="0.3">
      <c r="A436" s="335">
        <v>39841</v>
      </c>
      <c r="B436">
        <v>13.402298999999999</v>
      </c>
    </row>
    <row r="437" spans="1:3" x14ac:dyDescent="0.3">
      <c r="A437" s="335">
        <v>39842</v>
      </c>
      <c r="B437">
        <v>15.077584</v>
      </c>
      <c r="C437" s="334">
        <f t="shared" si="6"/>
        <v>0.12499982279159723</v>
      </c>
    </row>
    <row r="438" spans="1:3" x14ac:dyDescent="0.3">
      <c r="A438" s="335">
        <v>39843</v>
      </c>
      <c r="B438">
        <v>14.798370999999999</v>
      </c>
      <c r="C438" s="334">
        <f t="shared" si="6"/>
        <v>-1.8518417804868497E-2</v>
      </c>
    </row>
    <row r="439" spans="1:3" x14ac:dyDescent="0.3">
      <c r="A439" s="335">
        <v>39846</v>
      </c>
      <c r="B439">
        <v>14.798370999999999</v>
      </c>
      <c r="C439" s="334">
        <f t="shared" si="6"/>
        <v>0</v>
      </c>
    </row>
    <row r="440" spans="1:3" x14ac:dyDescent="0.3">
      <c r="A440" s="335">
        <v>39847</v>
      </c>
      <c r="B440">
        <v>14.519157</v>
      </c>
      <c r="C440" s="334">
        <f t="shared" si="6"/>
        <v>-1.8867887553298917E-2</v>
      </c>
    </row>
    <row r="441" spans="1:3" x14ac:dyDescent="0.3">
      <c r="A441" s="335">
        <v>39848</v>
      </c>
      <c r="B441">
        <v>0</v>
      </c>
      <c r="C441" s="334">
        <f t="shared" si="6"/>
        <v>-1</v>
      </c>
    </row>
    <row r="442" spans="1:3" x14ac:dyDescent="0.3">
      <c r="A442" s="335">
        <v>39849</v>
      </c>
      <c r="B442">
        <v>14.519157</v>
      </c>
    </row>
    <row r="443" spans="1:3" x14ac:dyDescent="0.3">
      <c r="A443" s="335">
        <v>39850</v>
      </c>
      <c r="B443">
        <v>14.519157</v>
      </c>
      <c r="C443" s="334">
        <f t="shared" si="6"/>
        <v>0</v>
      </c>
    </row>
    <row r="444" spans="1:3" x14ac:dyDescent="0.3">
      <c r="A444" s="335">
        <v>39853</v>
      </c>
      <c r="B444">
        <v>15.077584</v>
      </c>
      <c r="C444" s="334">
        <f t="shared" si="6"/>
        <v>3.846139276543397E-2</v>
      </c>
    </row>
    <row r="445" spans="1:3" x14ac:dyDescent="0.3">
      <c r="A445" s="335">
        <v>39854</v>
      </c>
      <c r="B445">
        <v>15.077584</v>
      </c>
      <c r="C445" s="334">
        <f t="shared" si="6"/>
        <v>0</v>
      </c>
    </row>
    <row r="446" spans="1:3" x14ac:dyDescent="0.3">
      <c r="A446" s="335">
        <v>39855</v>
      </c>
      <c r="B446">
        <v>15.077584</v>
      </c>
      <c r="C446" s="334">
        <f t="shared" si="6"/>
        <v>0</v>
      </c>
    </row>
    <row r="447" spans="1:3" x14ac:dyDescent="0.3">
      <c r="A447" s="335">
        <v>39856</v>
      </c>
      <c r="B447">
        <v>0</v>
      </c>
      <c r="C447" s="334">
        <f t="shared" si="6"/>
        <v>-1</v>
      </c>
    </row>
    <row r="448" spans="1:3" x14ac:dyDescent="0.3">
      <c r="A448" s="335">
        <v>39857</v>
      </c>
      <c r="B448">
        <v>15.077584</v>
      </c>
    </row>
    <row r="449" spans="1:3" x14ac:dyDescent="0.3">
      <c r="A449" s="335">
        <v>39860</v>
      </c>
      <c r="B449">
        <v>15.077584</v>
      </c>
      <c r="C449" s="334">
        <f t="shared" si="6"/>
        <v>0</v>
      </c>
    </row>
    <row r="450" spans="1:3" x14ac:dyDescent="0.3">
      <c r="A450" s="335">
        <v>39861</v>
      </c>
      <c r="B450">
        <v>16.194447</v>
      </c>
      <c r="C450" s="334">
        <f t="shared" si="6"/>
        <v>7.4074400779329128E-2</v>
      </c>
    </row>
    <row r="451" spans="1:3" x14ac:dyDescent="0.3">
      <c r="A451" s="335">
        <v>39862</v>
      </c>
      <c r="B451">
        <v>16.752872</v>
      </c>
      <c r="C451" s="334">
        <f t="shared" si="6"/>
        <v>3.4482498846672552E-2</v>
      </c>
    </row>
    <row r="452" spans="1:3" x14ac:dyDescent="0.3">
      <c r="A452" s="335">
        <v>39863</v>
      </c>
      <c r="B452">
        <v>15.077584</v>
      </c>
      <c r="C452" s="334">
        <f t="shared" si="6"/>
        <v>-0.10000004775300618</v>
      </c>
    </row>
    <row r="453" spans="1:3" x14ac:dyDescent="0.3">
      <c r="A453" s="335">
        <v>39864</v>
      </c>
      <c r="B453">
        <v>15.636013</v>
      </c>
      <c r="C453" s="334">
        <f t="shared" si="6"/>
        <v>3.7037034580606566E-2</v>
      </c>
    </row>
    <row r="454" spans="1:3" x14ac:dyDescent="0.3">
      <c r="A454" s="335">
        <v>39867</v>
      </c>
      <c r="B454">
        <v>0</v>
      </c>
      <c r="C454" s="334">
        <f t="shared" ref="C454:C517" si="7">(B454-B453)/B453</f>
        <v>-1</v>
      </c>
    </row>
    <row r="455" spans="1:3" x14ac:dyDescent="0.3">
      <c r="A455" s="335">
        <v>39868</v>
      </c>
      <c r="B455">
        <v>15.077584</v>
      </c>
    </row>
    <row r="456" spans="1:3" x14ac:dyDescent="0.3">
      <c r="A456" s="335">
        <v>39869</v>
      </c>
      <c r="B456">
        <v>17.311304</v>
      </c>
      <c r="C456" s="334">
        <f t="shared" si="7"/>
        <v>0.148148403616919</v>
      </c>
    </row>
    <row r="457" spans="1:3" x14ac:dyDescent="0.3">
      <c r="A457" s="335">
        <v>39870</v>
      </c>
      <c r="B457">
        <v>17.311304</v>
      </c>
      <c r="C457" s="334">
        <f t="shared" si="7"/>
        <v>0</v>
      </c>
    </row>
    <row r="458" spans="1:3" x14ac:dyDescent="0.3">
      <c r="A458" s="335">
        <v>39871</v>
      </c>
      <c r="B458">
        <v>0</v>
      </c>
      <c r="C458" s="334">
        <f t="shared" si="7"/>
        <v>-1</v>
      </c>
    </row>
    <row r="459" spans="1:3" x14ac:dyDescent="0.3">
      <c r="A459" s="335">
        <v>39874</v>
      </c>
      <c r="B459">
        <v>16.752872</v>
      </c>
    </row>
    <row r="460" spans="1:3" x14ac:dyDescent="0.3">
      <c r="A460" s="335">
        <v>39875</v>
      </c>
      <c r="B460">
        <v>16.194447</v>
      </c>
      <c r="C460" s="334">
        <f t="shared" si="7"/>
        <v>-3.3333090588885284E-2</v>
      </c>
    </row>
    <row r="461" spans="1:3" x14ac:dyDescent="0.3">
      <c r="A461" s="335">
        <v>39876</v>
      </c>
      <c r="B461">
        <v>17.311304</v>
      </c>
      <c r="C461" s="334">
        <f t="shared" si="7"/>
        <v>6.8965429940275172E-2</v>
      </c>
    </row>
    <row r="462" spans="1:3" x14ac:dyDescent="0.3">
      <c r="A462" s="335">
        <v>39877</v>
      </c>
      <c r="B462">
        <v>18.707374999999999</v>
      </c>
      <c r="C462" s="334">
        <f t="shared" si="7"/>
        <v>8.0645051349106878E-2</v>
      </c>
    </row>
    <row r="463" spans="1:3" x14ac:dyDescent="0.3">
      <c r="A463" s="335">
        <v>39878</v>
      </c>
      <c r="B463">
        <v>17.311304</v>
      </c>
      <c r="C463" s="334">
        <f t="shared" si="7"/>
        <v>-7.4626771527271957E-2</v>
      </c>
    </row>
    <row r="464" spans="1:3" x14ac:dyDescent="0.3">
      <c r="A464" s="335">
        <v>39881</v>
      </c>
      <c r="B464">
        <v>18.707374999999999</v>
      </c>
      <c r="C464" s="334">
        <f t="shared" si="7"/>
        <v>8.0645051349106878E-2</v>
      </c>
    </row>
    <row r="465" spans="1:3" x14ac:dyDescent="0.3">
      <c r="A465" s="335">
        <v>39882</v>
      </c>
      <c r="B465">
        <v>0</v>
      </c>
      <c r="C465" s="334">
        <f t="shared" si="7"/>
        <v>-1</v>
      </c>
    </row>
    <row r="466" spans="1:3" x14ac:dyDescent="0.3">
      <c r="A466" s="335">
        <v>39883</v>
      </c>
      <c r="B466">
        <v>17.869730000000001</v>
      </c>
      <c r="C466" s="334" t="e">
        <f t="shared" si="7"/>
        <v>#DIV/0!</v>
      </c>
    </row>
    <row r="467" spans="1:3" x14ac:dyDescent="0.3">
      <c r="A467" s="335">
        <v>39884</v>
      </c>
      <c r="B467">
        <v>17.869730000000001</v>
      </c>
      <c r="C467" s="334">
        <f t="shared" si="7"/>
        <v>0</v>
      </c>
    </row>
    <row r="468" spans="1:3" x14ac:dyDescent="0.3">
      <c r="A468" s="335">
        <v>39885</v>
      </c>
      <c r="B468">
        <v>17.869730000000001</v>
      </c>
      <c r="C468" s="334">
        <f t="shared" si="7"/>
        <v>0</v>
      </c>
    </row>
    <row r="469" spans="1:3" x14ac:dyDescent="0.3">
      <c r="A469" s="335">
        <v>39888</v>
      </c>
      <c r="B469">
        <v>17.311304</v>
      </c>
      <c r="C469" s="334">
        <f t="shared" si="7"/>
        <v>-3.124982862080181E-2</v>
      </c>
    </row>
    <row r="470" spans="1:3" x14ac:dyDescent="0.3">
      <c r="A470" s="335">
        <v>39889</v>
      </c>
      <c r="B470">
        <v>17.590515</v>
      </c>
      <c r="C470" s="334">
        <f t="shared" si="7"/>
        <v>1.6128825419506242E-2</v>
      </c>
    </row>
    <row r="471" spans="1:3" x14ac:dyDescent="0.3">
      <c r="A471" s="335">
        <v>39890</v>
      </c>
      <c r="B471">
        <v>17.590515</v>
      </c>
      <c r="C471" s="334">
        <f t="shared" si="7"/>
        <v>0</v>
      </c>
    </row>
    <row r="472" spans="1:3" x14ac:dyDescent="0.3">
      <c r="A472" s="335">
        <v>39891</v>
      </c>
      <c r="B472">
        <v>17.869730000000001</v>
      </c>
      <c r="C472" s="334">
        <f t="shared" si="7"/>
        <v>1.5873042943882011E-2</v>
      </c>
    </row>
    <row r="473" spans="1:3" x14ac:dyDescent="0.3">
      <c r="A473" s="335">
        <v>39892</v>
      </c>
      <c r="B473">
        <v>18.428158</v>
      </c>
      <c r="C473" s="334">
        <f t="shared" si="7"/>
        <v>3.1249940541910777E-2</v>
      </c>
    </row>
    <row r="474" spans="1:3" x14ac:dyDescent="0.3">
      <c r="A474" s="335">
        <v>39895</v>
      </c>
      <c r="B474">
        <v>18.428158</v>
      </c>
      <c r="C474" s="334">
        <f t="shared" si="7"/>
        <v>0</v>
      </c>
    </row>
    <row r="475" spans="1:3" x14ac:dyDescent="0.3">
      <c r="A475" s="335">
        <v>39896</v>
      </c>
      <c r="B475">
        <v>18.428158</v>
      </c>
      <c r="C475" s="334">
        <f t="shared" si="7"/>
        <v>0</v>
      </c>
    </row>
    <row r="476" spans="1:3" x14ac:dyDescent="0.3">
      <c r="A476" s="335">
        <v>39897</v>
      </c>
      <c r="B476">
        <v>18.428158</v>
      </c>
      <c r="C476" s="334">
        <f t="shared" si="7"/>
        <v>0</v>
      </c>
    </row>
    <row r="477" spans="1:3" x14ac:dyDescent="0.3">
      <c r="A477" s="335">
        <v>39898</v>
      </c>
      <c r="B477">
        <v>18.428158</v>
      </c>
      <c r="C477" s="334">
        <f t="shared" si="7"/>
        <v>0</v>
      </c>
    </row>
    <row r="478" spans="1:3" x14ac:dyDescent="0.3">
      <c r="A478" s="335">
        <v>39899</v>
      </c>
      <c r="B478">
        <v>18.428158</v>
      </c>
      <c r="C478" s="334">
        <f t="shared" si="7"/>
        <v>0</v>
      </c>
    </row>
    <row r="479" spans="1:3" x14ac:dyDescent="0.3">
      <c r="A479" s="335">
        <v>39902</v>
      </c>
      <c r="B479">
        <v>18.428158</v>
      </c>
      <c r="C479" s="334">
        <f t="shared" si="7"/>
        <v>0</v>
      </c>
    </row>
    <row r="480" spans="1:3" x14ac:dyDescent="0.3">
      <c r="A480" s="335">
        <v>39903</v>
      </c>
      <c r="B480">
        <v>18.428158</v>
      </c>
      <c r="C480" s="334">
        <f t="shared" si="7"/>
        <v>0</v>
      </c>
    </row>
    <row r="481" spans="1:3" x14ac:dyDescent="0.3">
      <c r="A481" s="335">
        <v>39904</v>
      </c>
      <c r="B481">
        <v>18.428158</v>
      </c>
      <c r="C481" s="334">
        <f t="shared" si="7"/>
        <v>0</v>
      </c>
    </row>
    <row r="482" spans="1:3" x14ac:dyDescent="0.3">
      <c r="A482" s="335">
        <v>39905</v>
      </c>
      <c r="B482">
        <v>19.545019</v>
      </c>
      <c r="C482" s="334">
        <f t="shared" si="7"/>
        <v>6.0606220111635689E-2</v>
      </c>
    </row>
    <row r="483" spans="1:3" x14ac:dyDescent="0.3">
      <c r="A483" s="335">
        <v>39906</v>
      </c>
      <c r="B483">
        <v>18.986588999999999</v>
      </c>
      <c r="C483" s="334">
        <f t="shared" si="7"/>
        <v>-2.8571473888053079E-2</v>
      </c>
    </row>
    <row r="484" spans="1:3" x14ac:dyDescent="0.3">
      <c r="A484" s="335">
        <v>39909</v>
      </c>
      <c r="B484">
        <v>18.986588999999999</v>
      </c>
      <c r="C484" s="334">
        <f t="shared" si="7"/>
        <v>0</v>
      </c>
    </row>
    <row r="485" spans="1:3" x14ac:dyDescent="0.3">
      <c r="A485" s="335">
        <v>39910</v>
      </c>
      <c r="B485">
        <v>18.986588999999999</v>
      </c>
      <c r="C485" s="334">
        <f t="shared" si="7"/>
        <v>0</v>
      </c>
    </row>
    <row r="486" spans="1:3" x14ac:dyDescent="0.3">
      <c r="A486" s="335">
        <v>39911</v>
      </c>
      <c r="B486">
        <v>18.986588999999999</v>
      </c>
      <c r="C486" s="334">
        <f t="shared" si="7"/>
        <v>0</v>
      </c>
    </row>
    <row r="487" spans="1:3" x14ac:dyDescent="0.3">
      <c r="A487" s="335">
        <v>39917</v>
      </c>
      <c r="B487">
        <v>18.986588999999999</v>
      </c>
      <c r="C487" s="334">
        <f t="shared" si="7"/>
        <v>0</v>
      </c>
    </row>
    <row r="488" spans="1:3" x14ac:dyDescent="0.3">
      <c r="A488" s="335">
        <v>39918</v>
      </c>
      <c r="B488">
        <v>18.428158</v>
      </c>
      <c r="C488" s="334">
        <f t="shared" si="7"/>
        <v>-2.9411865396148769E-2</v>
      </c>
    </row>
    <row r="489" spans="1:3" x14ac:dyDescent="0.3">
      <c r="A489" s="335">
        <v>39919</v>
      </c>
      <c r="B489">
        <v>18.428158</v>
      </c>
      <c r="C489" s="334">
        <f t="shared" si="7"/>
        <v>0</v>
      </c>
    </row>
    <row r="490" spans="1:3" x14ac:dyDescent="0.3">
      <c r="A490" s="335">
        <v>39920</v>
      </c>
      <c r="B490">
        <v>18.428158</v>
      </c>
      <c r="C490" s="334">
        <f t="shared" si="7"/>
        <v>0</v>
      </c>
    </row>
    <row r="491" spans="1:3" x14ac:dyDescent="0.3">
      <c r="A491" s="335">
        <v>39923</v>
      </c>
      <c r="B491">
        <v>18.428158</v>
      </c>
      <c r="C491" s="334">
        <f t="shared" si="7"/>
        <v>0</v>
      </c>
    </row>
    <row r="492" spans="1:3" x14ac:dyDescent="0.3">
      <c r="A492" s="335">
        <v>39924</v>
      </c>
      <c r="B492">
        <v>18.428158</v>
      </c>
      <c r="C492" s="334">
        <f t="shared" si="7"/>
        <v>0</v>
      </c>
    </row>
    <row r="493" spans="1:3" x14ac:dyDescent="0.3">
      <c r="A493" s="335">
        <v>39925</v>
      </c>
      <c r="B493">
        <v>17.869730000000001</v>
      </c>
      <c r="C493" s="334">
        <f t="shared" si="7"/>
        <v>-3.0302974393859618E-2</v>
      </c>
    </row>
    <row r="494" spans="1:3" x14ac:dyDescent="0.3">
      <c r="A494" s="335">
        <v>39926</v>
      </c>
      <c r="B494">
        <v>18.986588999999999</v>
      </c>
      <c r="C494" s="334">
        <f t="shared" si="7"/>
        <v>6.2500048965485097E-2</v>
      </c>
    </row>
    <row r="495" spans="1:3" x14ac:dyDescent="0.3">
      <c r="A495" s="335">
        <v>39927</v>
      </c>
      <c r="B495">
        <v>20.103449000000001</v>
      </c>
      <c r="C495" s="334">
        <f t="shared" si="7"/>
        <v>5.882362545478826E-2</v>
      </c>
    </row>
    <row r="496" spans="1:3" x14ac:dyDescent="0.3">
      <c r="A496" s="335">
        <v>39930</v>
      </c>
      <c r="B496">
        <v>21.220306000000001</v>
      </c>
      <c r="C496" s="334">
        <f t="shared" si="7"/>
        <v>5.5555491995428224E-2</v>
      </c>
    </row>
    <row r="497" spans="1:3" x14ac:dyDescent="0.3">
      <c r="A497" s="335">
        <v>39931</v>
      </c>
      <c r="B497">
        <v>20.103449000000001</v>
      </c>
      <c r="C497" s="334">
        <f t="shared" si="7"/>
        <v>-5.2631521901710533E-2</v>
      </c>
    </row>
    <row r="498" spans="1:3" x14ac:dyDescent="0.3">
      <c r="A498" s="335">
        <v>39932</v>
      </c>
      <c r="B498">
        <v>20.103449000000001</v>
      </c>
      <c r="C498" s="334">
        <f t="shared" si="7"/>
        <v>0</v>
      </c>
    </row>
    <row r="499" spans="1:3" x14ac:dyDescent="0.3">
      <c r="A499" s="335">
        <v>39933</v>
      </c>
      <c r="B499">
        <v>20.103449000000001</v>
      </c>
      <c r="C499" s="334">
        <f t="shared" si="7"/>
        <v>0</v>
      </c>
    </row>
    <row r="500" spans="1:3" x14ac:dyDescent="0.3">
      <c r="A500" s="335">
        <v>39937</v>
      </c>
      <c r="B500">
        <v>20.103449000000001</v>
      </c>
      <c r="C500" s="334">
        <f t="shared" si="7"/>
        <v>0</v>
      </c>
    </row>
    <row r="501" spans="1:3" x14ac:dyDescent="0.3">
      <c r="A501" s="335">
        <v>39938</v>
      </c>
      <c r="B501">
        <v>19.545019</v>
      </c>
      <c r="C501" s="334">
        <f t="shared" si="7"/>
        <v>-2.777782061177668E-2</v>
      </c>
    </row>
    <row r="502" spans="1:3" x14ac:dyDescent="0.3">
      <c r="A502" s="335">
        <v>39939</v>
      </c>
      <c r="B502">
        <v>19.991762000000001</v>
      </c>
      <c r="C502" s="334">
        <f t="shared" si="7"/>
        <v>2.2857127946511662E-2</v>
      </c>
    </row>
    <row r="503" spans="1:3" x14ac:dyDescent="0.3">
      <c r="A503" s="335">
        <v>39940</v>
      </c>
      <c r="B503">
        <v>20.103449000000001</v>
      </c>
      <c r="C503" s="334">
        <f t="shared" si="7"/>
        <v>5.5866511416052204E-3</v>
      </c>
    </row>
    <row r="504" spans="1:3" x14ac:dyDescent="0.3">
      <c r="A504" s="335">
        <v>39941</v>
      </c>
      <c r="B504">
        <v>19.824234000000001</v>
      </c>
      <c r="C504" s="334">
        <f t="shared" si="7"/>
        <v>-1.388891030588834E-2</v>
      </c>
    </row>
    <row r="505" spans="1:3" x14ac:dyDescent="0.3">
      <c r="A505" s="335">
        <v>39944</v>
      </c>
      <c r="B505">
        <v>19.545019</v>
      </c>
      <c r="C505" s="334">
        <f t="shared" si="7"/>
        <v>-1.4084529066797771E-2</v>
      </c>
    </row>
    <row r="506" spans="1:3" x14ac:dyDescent="0.3">
      <c r="A506" s="335">
        <v>39945</v>
      </c>
      <c r="B506">
        <v>19.545019</v>
      </c>
      <c r="C506" s="334">
        <f t="shared" si="7"/>
        <v>0</v>
      </c>
    </row>
    <row r="507" spans="1:3" x14ac:dyDescent="0.3">
      <c r="A507" s="335">
        <v>39946</v>
      </c>
      <c r="B507">
        <v>19.545019</v>
      </c>
      <c r="C507" s="334">
        <f t="shared" si="7"/>
        <v>0</v>
      </c>
    </row>
    <row r="508" spans="1:3" x14ac:dyDescent="0.3">
      <c r="A508" s="335">
        <v>39947</v>
      </c>
      <c r="B508">
        <v>20.829402999999999</v>
      </c>
      <c r="C508" s="334">
        <f t="shared" si="7"/>
        <v>6.5714134122867793E-2</v>
      </c>
    </row>
    <row r="509" spans="1:3" x14ac:dyDescent="0.3">
      <c r="A509" s="335">
        <v>39948</v>
      </c>
      <c r="B509">
        <v>23.342337000000001</v>
      </c>
      <c r="C509" s="334">
        <f t="shared" si="7"/>
        <v>0.12064359213751837</v>
      </c>
    </row>
    <row r="510" spans="1:3" x14ac:dyDescent="0.3">
      <c r="A510" s="335">
        <v>39951</v>
      </c>
      <c r="B510">
        <v>25.073468999999999</v>
      </c>
      <c r="C510" s="334">
        <f t="shared" si="7"/>
        <v>7.4162754140684323E-2</v>
      </c>
    </row>
    <row r="511" spans="1:3" x14ac:dyDescent="0.3">
      <c r="A511" s="335">
        <v>39952</v>
      </c>
      <c r="B511">
        <v>25.129308999999999</v>
      </c>
      <c r="C511" s="334">
        <f t="shared" si="7"/>
        <v>2.2270552192040077E-3</v>
      </c>
    </row>
    <row r="512" spans="1:3" x14ac:dyDescent="0.3">
      <c r="A512" s="335">
        <v>39953</v>
      </c>
      <c r="B512">
        <v>24.570882999999998</v>
      </c>
      <c r="C512" s="334">
        <f t="shared" si="7"/>
        <v>-2.2222099302452E-2</v>
      </c>
    </row>
    <row r="513" spans="1:3" x14ac:dyDescent="0.3">
      <c r="A513" s="335">
        <v>39955</v>
      </c>
      <c r="B513">
        <v>24.905943000000001</v>
      </c>
      <c r="C513" s="334">
        <f t="shared" si="7"/>
        <v>1.3636465567802434E-2</v>
      </c>
    </row>
    <row r="514" spans="1:3" x14ac:dyDescent="0.3">
      <c r="A514" s="335">
        <v>39958</v>
      </c>
      <c r="B514">
        <v>24.570882999999998</v>
      </c>
      <c r="C514" s="334">
        <f t="shared" si="7"/>
        <v>-1.3453014005532822E-2</v>
      </c>
    </row>
    <row r="515" spans="1:3" x14ac:dyDescent="0.3">
      <c r="A515" s="335">
        <v>39959</v>
      </c>
      <c r="B515">
        <v>24.570882999999998</v>
      </c>
      <c r="C515" s="334">
        <f t="shared" si="7"/>
        <v>0</v>
      </c>
    </row>
    <row r="516" spans="1:3" x14ac:dyDescent="0.3">
      <c r="A516" s="335">
        <v>39960</v>
      </c>
      <c r="B516">
        <v>22.895589999999999</v>
      </c>
      <c r="C516" s="334">
        <f t="shared" si="7"/>
        <v>-6.8182042948965252E-2</v>
      </c>
    </row>
    <row r="517" spans="1:3" x14ac:dyDescent="0.3">
      <c r="A517" s="335">
        <v>39961</v>
      </c>
      <c r="B517">
        <v>22.895589999999999</v>
      </c>
      <c r="C517" s="334">
        <f t="shared" si="7"/>
        <v>0</v>
      </c>
    </row>
    <row r="518" spans="1:3" x14ac:dyDescent="0.3">
      <c r="A518" s="335">
        <v>39962</v>
      </c>
      <c r="B518">
        <v>24.812956</v>
      </c>
      <c r="C518" s="334">
        <f t="shared" ref="C518:C581" si="8">(B518-B517)/B517</f>
        <v>8.3743900026162305E-2</v>
      </c>
    </row>
    <row r="519" spans="1:3" x14ac:dyDescent="0.3">
      <c r="A519" s="335">
        <v>39966</v>
      </c>
      <c r="B519">
        <v>23.741488</v>
      </c>
      <c r="C519" s="334">
        <f t="shared" si="8"/>
        <v>-4.3181795832789908E-2</v>
      </c>
    </row>
    <row r="520" spans="1:3" x14ac:dyDescent="0.3">
      <c r="A520" s="335">
        <v>39967</v>
      </c>
      <c r="B520">
        <v>23.685099000000001</v>
      </c>
      <c r="C520" s="334">
        <f t="shared" si="8"/>
        <v>-2.3751249289850475E-3</v>
      </c>
    </row>
    <row r="521" spans="1:3" x14ac:dyDescent="0.3">
      <c r="A521" s="335">
        <v>39968</v>
      </c>
      <c r="B521">
        <v>23.121164</v>
      </c>
      <c r="C521" s="334">
        <f t="shared" si="8"/>
        <v>-2.3809695707837267E-2</v>
      </c>
    </row>
    <row r="522" spans="1:3" x14ac:dyDescent="0.3">
      <c r="A522" s="335">
        <v>39969</v>
      </c>
      <c r="B522">
        <v>23.403133</v>
      </c>
      <c r="C522" s="334">
        <f t="shared" si="8"/>
        <v>1.2195277019790186E-2</v>
      </c>
    </row>
    <row r="523" spans="1:3" x14ac:dyDescent="0.3">
      <c r="A523" s="335">
        <v>39972</v>
      </c>
      <c r="B523">
        <v>23.121164</v>
      </c>
      <c r="C523" s="334">
        <f t="shared" si="8"/>
        <v>-1.2048344125549349E-2</v>
      </c>
    </row>
    <row r="524" spans="1:3" x14ac:dyDescent="0.3">
      <c r="A524" s="335">
        <v>39973</v>
      </c>
      <c r="B524">
        <v>24.812956</v>
      </c>
      <c r="C524" s="334">
        <f t="shared" si="8"/>
        <v>7.3170710609552339E-2</v>
      </c>
    </row>
    <row r="525" spans="1:3" x14ac:dyDescent="0.3">
      <c r="A525" s="335">
        <v>39974</v>
      </c>
      <c r="B525">
        <v>24.530992999999999</v>
      </c>
      <c r="C525" s="334">
        <f t="shared" si="8"/>
        <v>-1.1363539273595661E-2</v>
      </c>
    </row>
    <row r="526" spans="1:3" x14ac:dyDescent="0.3">
      <c r="A526" s="335">
        <v>39975</v>
      </c>
      <c r="B526">
        <v>25.094923000000001</v>
      </c>
      <c r="C526" s="334">
        <f t="shared" si="8"/>
        <v>2.2988470136533108E-2</v>
      </c>
    </row>
    <row r="527" spans="1:3" x14ac:dyDescent="0.3">
      <c r="A527" s="335">
        <v>39976</v>
      </c>
      <c r="B527">
        <v>25.094923000000001</v>
      </c>
      <c r="C527" s="334">
        <f t="shared" si="8"/>
        <v>0</v>
      </c>
    </row>
    <row r="528" spans="1:3" x14ac:dyDescent="0.3">
      <c r="A528" s="335">
        <v>39979</v>
      </c>
      <c r="B528">
        <v>24.249029</v>
      </c>
      <c r="C528" s="334">
        <f t="shared" si="8"/>
        <v>-3.3707774277689603E-2</v>
      </c>
    </row>
    <row r="529" spans="1:3" x14ac:dyDescent="0.3">
      <c r="A529" s="335">
        <v>39980</v>
      </c>
      <c r="B529">
        <v>25.094923000000001</v>
      </c>
      <c r="C529" s="334">
        <f t="shared" si="8"/>
        <v>3.4883623587567206E-2</v>
      </c>
    </row>
    <row r="530" spans="1:3" x14ac:dyDescent="0.3">
      <c r="A530" s="335">
        <v>39981</v>
      </c>
      <c r="B530">
        <v>24.756568999999999</v>
      </c>
      <c r="C530" s="334">
        <f t="shared" si="8"/>
        <v>-1.3482966255764263E-2</v>
      </c>
    </row>
    <row r="531" spans="1:3" x14ac:dyDescent="0.3">
      <c r="A531" s="335">
        <v>39982</v>
      </c>
      <c r="B531">
        <v>22.557230000000001</v>
      </c>
      <c r="C531" s="334">
        <f t="shared" si="8"/>
        <v>-8.8838602796696045E-2</v>
      </c>
    </row>
    <row r="532" spans="1:3" x14ac:dyDescent="0.3">
      <c r="A532" s="335">
        <v>39983</v>
      </c>
      <c r="B532">
        <v>22.782806000000001</v>
      </c>
      <c r="C532" s="334">
        <f t="shared" si="8"/>
        <v>1.0000164027232077E-2</v>
      </c>
    </row>
    <row r="533" spans="1:3" x14ac:dyDescent="0.3">
      <c r="A533" s="335">
        <v>39986</v>
      </c>
      <c r="B533">
        <v>22.275269000000002</v>
      </c>
      <c r="C533" s="334">
        <f t="shared" si="8"/>
        <v>-2.2277194477273748E-2</v>
      </c>
    </row>
    <row r="534" spans="1:3" x14ac:dyDescent="0.3">
      <c r="A534" s="335">
        <v>39987</v>
      </c>
      <c r="B534">
        <v>21.993300999999999</v>
      </c>
      <c r="C534" s="334">
        <f t="shared" si="8"/>
        <v>-1.2658343205642214E-2</v>
      </c>
    </row>
    <row r="535" spans="1:3" x14ac:dyDescent="0.3">
      <c r="A535" s="335">
        <v>39988</v>
      </c>
      <c r="B535">
        <v>24.756568999999999</v>
      </c>
      <c r="C535" s="334">
        <f t="shared" si="8"/>
        <v>0.12564134869977001</v>
      </c>
    </row>
    <row r="536" spans="1:3" x14ac:dyDescent="0.3">
      <c r="A536" s="335">
        <v>39989</v>
      </c>
      <c r="B536">
        <v>24.530992999999999</v>
      </c>
      <c r="C536" s="334">
        <f t="shared" si="8"/>
        <v>-9.1117634273149978E-3</v>
      </c>
    </row>
    <row r="537" spans="1:3" x14ac:dyDescent="0.3">
      <c r="A537" s="335">
        <v>39990</v>
      </c>
      <c r="B537">
        <v>24.756568999999999</v>
      </c>
      <c r="C537" s="334">
        <f t="shared" si="8"/>
        <v>9.1955511136463264E-3</v>
      </c>
    </row>
    <row r="538" spans="1:3" x14ac:dyDescent="0.3">
      <c r="A538" s="335">
        <v>39993</v>
      </c>
      <c r="B538">
        <v>23.96706</v>
      </c>
      <c r="C538" s="334">
        <f t="shared" si="8"/>
        <v>-3.1890889242366299E-2</v>
      </c>
    </row>
    <row r="539" spans="1:3" x14ac:dyDescent="0.3">
      <c r="A539" s="335">
        <v>39994</v>
      </c>
      <c r="B539">
        <v>24.756568999999999</v>
      </c>
      <c r="C539" s="334">
        <f t="shared" si="8"/>
        <v>3.2941420432877414E-2</v>
      </c>
    </row>
    <row r="540" spans="1:3" x14ac:dyDescent="0.3">
      <c r="A540" s="335">
        <v>39995</v>
      </c>
      <c r="B540">
        <v>23.685099000000001</v>
      </c>
      <c r="C540" s="334">
        <f t="shared" si="8"/>
        <v>-4.3280229986634979E-2</v>
      </c>
    </row>
    <row r="541" spans="1:3" x14ac:dyDescent="0.3">
      <c r="A541" s="335">
        <v>39996</v>
      </c>
      <c r="B541">
        <v>23.685099000000001</v>
      </c>
      <c r="C541" s="334">
        <f t="shared" si="8"/>
        <v>0</v>
      </c>
    </row>
    <row r="542" spans="1:3" x14ac:dyDescent="0.3">
      <c r="A542" s="335">
        <v>39997</v>
      </c>
      <c r="B542">
        <v>24.530992999999999</v>
      </c>
      <c r="C542" s="334">
        <f t="shared" si="8"/>
        <v>3.5714184686329482E-2</v>
      </c>
    </row>
    <row r="543" spans="1:3" x14ac:dyDescent="0.3">
      <c r="A543" s="335">
        <v>40000</v>
      </c>
      <c r="B543">
        <v>24.530992999999999</v>
      </c>
      <c r="C543" s="334">
        <f t="shared" si="8"/>
        <v>0</v>
      </c>
    </row>
    <row r="544" spans="1:3" x14ac:dyDescent="0.3">
      <c r="A544" s="335">
        <v>40001</v>
      </c>
      <c r="B544">
        <v>24.530992999999999</v>
      </c>
      <c r="C544" s="334">
        <f t="shared" si="8"/>
        <v>0</v>
      </c>
    </row>
    <row r="545" spans="1:3" x14ac:dyDescent="0.3">
      <c r="A545" s="335">
        <v>40002</v>
      </c>
      <c r="B545">
        <v>24.474599999999999</v>
      </c>
      <c r="C545" s="334">
        <f t="shared" si="8"/>
        <v>-2.2988470136532965E-3</v>
      </c>
    </row>
    <row r="546" spans="1:3" x14ac:dyDescent="0.3">
      <c r="A546" s="335">
        <v>40003</v>
      </c>
      <c r="B546">
        <v>24.474599999999999</v>
      </c>
      <c r="C546" s="334">
        <f t="shared" si="8"/>
        <v>0</v>
      </c>
    </row>
    <row r="547" spans="1:3" x14ac:dyDescent="0.3">
      <c r="A547" s="335">
        <v>40004</v>
      </c>
      <c r="B547">
        <v>24.474599999999999</v>
      </c>
      <c r="C547" s="334">
        <f t="shared" si="8"/>
        <v>0</v>
      </c>
    </row>
    <row r="548" spans="1:3" x14ac:dyDescent="0.3">
      <c r="A548" s="335">
        <v>40007</v>
      </c>
      <c r="B548">
        <v>24.530992999999999</v>
      </c>
      <c r="C548" s="334">
        <f t="shared" si="8"/>
        <v>2.3041438879491359E-3</v>
      </c>
    </row>
    <row r="549" spans="1:3" x14ac:dyDescent="0.3">
      <c r="A549" s="335">
        <v>40008</v>
      </c>
      <c r="B549">
        <v>24.812956</v>
      </c>
      <c r="C549" s="334">
        <f t="shared" si="8"/>
        <v>1.1494153538749984E-2</v>
      </c>
    </row>
    <row r="550" spans="1:3" x14ac:dyDescent="0.3">
      <c r="A550" s="335">
        <v>40009</v>
      </c>
      <c r="B550">
        <v>24.812956</v>
      </c>
      <c r="C550" s="334">
        <f t="shared" si="8"/>
        <v>0</v>
      </c>
    </row>
    <row r="551" spans="1:3" x14ac:dyDescent="0.3">
      <c r="A551" s="335">
        <v>40010</v>
      </c>
      <c r="B551">
        <v>23.741488</v>
      </c>
      <c r="C551" s="334">
        <f t="shared" si="8"/>
        <v>-4.3181795832789908E-2</v>
      </c>
    </row>
    <row r="552" spans="1:3" x14ac:dyDescent="0.3">
      <c r="A552" s="335">
        <v>40011</v>
      </c>
      <c r="B552">
        <v>24.812956</v>
      </c>
      <c r="C552" s="334">
        <f t="shared" si="8"/>
        <v>4.5130616918366673E-2</v>
      </c>
    </row>
    <row r="553" spans="1:3" x14ac:dyDescent="0.3">
      <c r="A553" s="335">
        <v>40014</v>
      </c>
      <c r="B553">
        <v>25.264101</v>
      </c>
      <c r="C553" s="334">
        <f t="shared" si="8"/>
        <v>1.8181832104163662E-2</v>
      </c>
    </row>
    <row r="554" spans="1:3" x14ac:dyDescent="0.3">
      <c r="A554" s="335">
        <v>40015</v>
      </c>
      <c r="B554">
        <v>25.264101</v>
      </c>
      <c r="C554" s="334">
        <f t="shared" si="8"/>
        <v>0</v>
      </c>
    </row>
    <row r="555" spans="1:3" x14ac:dyDescent="0.3">
      <c r="A555" s="335">
        <v>40016</v>
      </c>
      <c r="B555">
        <v>25.264101</v>
      </c>
      <c r="C555" s="334">
        <f t="shared" si="8"/>
        <v>0</v>
      </c>
    </row>
    <row r="556" spans="1:3" x14ac:dyDescent="0.3">
      <c r="A556" s="335">
        <v>40017</v>
      </c>
      <c r="B556">
        <v>24.812956</v>
      </c>
      <c r="C556" s="334">
        <f t="shared" si="8"/>
        <v>-1.7857156286701054E-2</v>
      </c>
    </row>
    <row r="557" spans="1:3" x14ac:dyDescent="0.3">
      <c r="A557" s="335">
        <v>40018</v>
      </c>
      <c r="B557">
        <v>24.530992999999999</v>
      </c>
      <c r="C557" s="334">
        <f t="shared" si="8"/>
        <v>-1.1363539273595661E-2</v>
      </c>
    </row>
    <row r="558" spans="1:3" x14ac:dyDescent="0.3">
      <c r="A558" s="335">
        <v>40021</v>
      </c>
      <c r="B558">
        <v>25.094923000000001</v>
      </c>
      <c r="C558" s="334">
        <f t="shared" si="8"/>
        <v>2.2988470136533108E-2</v>
      </c>
    </row>
    <row r="559" spans="1:3" x14ac:dyDescent="0.3">
      <c r="A559" s="335">
        <v>40022</v>
      </c>
      <c r="B559">
        <v>25.094923000000001</v>
      </c>
      <c r="C559" s="334">
        <f t="shared" si="8"/>
        <v>0</v>
      </c>
    </row>
    <row r="560" spans="1:3" x14ac:dyDescent="0.3">
      <c r="A560" s="335">
        <v>40023</v>
      </c>
      <c r="B560">
        <v>24.530992999999999</v>
      </c>
      <c r="C560" s="334">
        <f t="shared" si="8"/>
        <v>-2.2471876084258265E-2</v>
      </c>
    </row>
    <row r="561" spans="1:3" x14ac:dyDescent="0.3">
      <c r="A561" s="335">
        <v>40024</v>
      </c>
      <c r="B561">
        <v>24.249029</v>
      </c>
      <c r="C561" s="334">
        <f t="shared" si="8"/>
        <v>-1.1494194303508161E-2</v>
      </c>
    </row>
    <row r="562" spans="1:3" x14ac:dyDescent="0.3">
      <c r="A562" s="335">
        <v>40025</v>
      </c>
      <c r="B562">
        <v>24.249029</v>
      </c>
      <c r="C562" s="334">
        <f t="shared" si="8"/>
        <v>0</v>
      </c>
    </row>
    <row r="563" spans="1:3" x14ac:dyDescent="0.3">
      <c r="A563" s="335">
        <v>40028</v>
      </c>
      <c r="B563">
        <v>24.587381000000001</v>
      </c>
      <c r="C563" s="334">
        <f t="shared" si="8"/>
        <v>1.3953218497944822E-2</v>
      </c>
    </row>
    <row r="564" spans="1:3" x14ac:dyDescent="0.3">
      <c r="A564" s="335">
        <v>40029</v>
      </c>
      <c r="B564">
        <v>24.587381000000001</v>
      </c>
      <c r="C564" s="334">
        <f t="shared" si="8"/>
        <v>0</v>
      </c>
    </row>
    <row r="565" spans="1:3" x14ac:dyDescent="0.3">
      <c r="A565" s="335">
        <v>40030</v>
      </c>
      <c r="B565">
        <v>24.982136000000001</v>
      </c>
      <c r="C565" s="334">
        <f t="shared" si="8"/>
        <v>1.6055187008327563E-2</v>
      </c>
    </row>
    <row r="566" spans="1:3" x14ac:dyDescent="0.3">
      <c r="A566" s="335">
        <v>40031</v>
      </c>
      <c r="B566">
        <v>23.403133</v>
      </c>
      <c r="C566" s="334">
        <f t="shared" si="8"/>
        <v>-6.3205283967711967E-2</v>
      </c>
    </row>
    <row r="567" spans="1:3" x14ac:dyDescent="0.3">
      <c r="A567" s="335">
        <v>40032</v>
      </c>
      <c r="B567">
        <v>23.403133</v>
      </c>
      <c r="C567" s="334">
        <f t="shared" si="8"/>
        <v>0</v>
      </c>
    </row>
    <row r="568" spans="1:3" x14ac:dyDescent="0.3">
      <c r="A568" s="335">
        <v>40035</v>
      </c>
      <c r="B568">
        <v>23.233953</v>
      </c>
      <c r="C568" s="334">
        <f t="shared" si="8"/>
        <v>-7.2289466542791846E-3</v>
      </c>
    </row>
    <row r="569" spans="1:3" x14ac:dyDescent="0.3">
      <c r="A569" s="335">
        <v>40036</v>
      </c>
      <c r="B569">
        <v>23.685099000000001</v>
      </c>
      <c r="C569" s="334">
        <f t="shared" si="8"/>
        <v>1.9417530886801801E-2</v>
      </c>
    </row>
    <row r="570" spans="1:3" x14ac:dyDescent="0.3">
      <c r="A570" s="335">
        <v>40037</v>
      </c>
      <c r="B570">
        <v>23.685099000000001</v>
      </c>
      <c r="C570" s="334">
        <f t="shared" si="8"/>
        <v>0</v>
      </c>
    </row>
    <row r="571" spans="1:3" x14ac:dyDescent="0.3">
      <c r="A571" s="335">
        <v>40038</v>
      </c>
      <c r="B571">
        <v>24.361810999999999</v>
      </c>
      <c r="C571" s="334">
        <f t="shared" si="8"/>
        <v>2.857121264302076E-2</v>
      </c>
    </row>
    <row r="572" spans="1:3" x14ac:dyDescent="0.3">
      <c r="A572" s="335">
        <v>40039</v>
      </c>
      <c r="B572">
        <v>24.700171000000001</v>
      </c>
      <c r="C572" s="334">
        <f t="shared" si="8"/>
        <v>1.3888951030775238E-2</v>
      </c>
    </row>
    <row r="573" spans="1:3" x14ac:dyDescent="0.3">
      <c r="A573" s="335">
        <v>40042</v>
      </c>
      <c r="B573">
        <v>24.812956</v>
      </c>
      <c r="C573" s="334">
        <f t="shared" si="8"/>
        <v>4.5661627200880026E-3</v>
      </c>
    </row>
    <row r="574" spans="1:3" x14ac:dyDescent="0.3">
      <c r="A574" s="335">
        <v>40043</v>
      </c>
      <c r="B574">
        <v>24.530992999999999</v>
      </c>
      <c r="C574" s="334">
        <f t="shared" si="8"/>
        <v>-1.1363539273595661E-2</v>
      </c>
    </row>
    <row r="575" spans="1:3" x14ac:dyDescent="0.3">
      <c r="A575" s="335">
        <v>40044</v>
      </c>
      <c r="B575">
        <v>23.121164</v>
      </c>
      <c r="C575" s="334">
        <f t="shared" si="8"/>
        <v>-5.747133840036555E-2</v>
      </c>
    </row>
    <row r="576" spans="1:3" x14ac:dyDescent="0.3">
      <c r="A576" s="335">
        <v>40045</v>
      </c>
      <c r="B576">
        <v>23.177558999999999</v>
      </c>
      <c r="C576" s="334">
        <f t="shared" si="8"/>
        <v>2.4391073044591708E-3</v>
      </c>
    </row>
    <row r="577" spans="1:3" x14ac:dyDescent="0.3">
      <c r="A577" s="335">
        <v>40046</v>
      </c>
      <c r="B577">
        <v>24.812956</v>
      </c>
      <c r="C577" s="334">
        <f t="shared" si="8"/>
        <v>7.0559501110535466E-2</v>
      </c>
    </row>
    <row r="578" spans="1:3" x14ac:dyDescent="0.3">
      <c r="A578" s="335">
        <v>40049</v>
      </c>
      <c r="B578">
        <v>24.812956</v>
      </c>
      <c r="C578" s="334">
        <f t="shared" si="8"/>
        <v>0</v>
      </c>
    </row>
    <row r="579" spans="1:3" x14ac:dyDescent="0.3">
      <c r="A579" s="335">
        <v>40050</v>
      </c>
      <c r="B579">
        <v>24.812956</v>
      </c>
      <c r="C579" s="334">
        <f t="shared" si="8"/>
        <v>0</v>
      </c>
    </row>
    <row r="580" spans="1:3" x14ac:dyDescent="0.3">
      <c r="A580" s="335">
        <v>40051</v>
      </c>
      <c r="B580">
        <v>25.376885999999999</v>
      </c>
      <c r="C580" s="334">
        <f t="shared" si="8"/>
        <v>2.2727239753296592E-2</v>
      </c>
    </row>
    <row r="581" spans="1:3" x14ac:dyDescent="0.3">
      <c r="A581" s="335">
        <v>40052</v>
      </c>
      <c r="B581">
        <v>25.602461000000002</v>
      </c>
      <c r="C581" s="334">
        <f t="shared" si="8"/>
        <v>8.8889944968032226E-3</v>
      </c>
    </row>
    <row r="582" spans="1:3" x14ac:dyDescent="0.3">
      <c r="A582" s="335">
        <v>40053</v>
      </c>
      <c r="B582">
        <v>25.658854000000002</v>
      </c>
      <c r="C582" s="334">
        <f t="shared" ref="C582:C645" si="9">(B582-B581)/B581</f>
        <v>2.202639816539508E-3</v>
      </c>
    </row>
    <row r="583" spans="1:3" x14ac:dyDescent="0.3">
      <c r="A583" s="335">
        <v>40056</v>
      </c>
      <c r="B583">
        <v>25.884426000000001</v>
      </c>
      <c r="C583" s="334">
        <f t="shared" si="9"/>
        <v>8.79119542907098E-3</v>
      </c>
    </row>
    <row r="584" spans="1:3" x14ac:dyDescent="0.3">
      <c r="A584" s="335">
        <v>40057</v>
      </c>
      <c r="B584">
        <v>24.812956</v>
      </c>
      <c r="C584" s="334">
        <f t="shared" si="9"/>
        <v>-4.1394389043048568E-2</v>
      </c>
    </row>
    <row r="585" spans="1:3" x14ac:dyDescent="0.3">
      <c r="A585" s="335">
        <v>40058</v>
      </c>
      <c r="B585">
        <v>25.376885999999999</v>
      </c>
      <c r="C585" s="334">
        <f t="shared" si="9"/>
        <v>2.2727239753296592E-2</v>
      </c>
    </row>
    <row r="586" spans="1:3" x14ac:dyDescent="0.3">
      <c r="A586" s="335">
        <v>40059</v>
      </c>
      <c r="B586">
        <v>25.094923000000001</v>
      </c>
      <c r="C586" s="334">
        <f t="shared" si="9"/>
        <v>-1.1111016536859468E-2</v>
      </c>
    </row>
    <row r="587" spans="1:3" x14ac:dyDescent="0.3">
      <c r="A587" s="335">
        <v>40060</v>
      </c>
      <c r="B587">
        <v>25.658854000000002</v>
      </c>
      <c r="C587" s="334">
        <f t="shared" si="9"/>
        <v>2.2471915932955847E-2</v>
      </c>
    </row>
    <row r="588" spans="1:3" x14ac:dyDescent="0.3">
      <c r="A588" s="335">
        <v>40063</v>
      </c>
      <c r="B588">
        <v>25.658854000000002</v>
      </c>
      <c r="C588" s="334">
        <f t="shared" si="9"/>
        <v>0</v>
      </c>
    </row>
    <row r="589" spans="1:3" x14ac:dyDescent="0.3">
      <c r="A589" s="335">
        <v>40064</v>
      </c>
      <c r="B589">
        <v>25.602461000000002</v>
      </c>
      <c r="C589" s="334">
        <f t="shared" si="9"/>
        <v>-2.197798857267745E-3</v>
      </c>
    </row>
    <row r="590" spans="1:3" x14ac:dyDescent="0.3">
      <c r="A590" s="335">
        <v>40065</v>
      </c>
      <c r="B590">
        <v>25.320495999999999</v>
      </c>
      <c r="C590" s="334">
        <f t="shared" si="9"/>
        <v>-1.101319908269768E-2</v>
      </c>
    </row>
    <row r="591" spans="1:3" x14ac:dyDescent="0.3">
      <c r="A591" s="335">
        <v>40066</v>
      </c>
      <c r="B591">
        <v>24.530992999999999</v>
      </c>
      <c r="C591" s="334">
        <f t="shared" si="9"/>
        <v>-3.1180392358822667E-2</v>
      </c>
    </row>
    <row r="592" spans="1:3" x14ac:dyDescent="0.3">
      <c r="A592" s="335">
        <v>40067</v>
      </c>
      <c r="B592">
        <v>24.418206999999999</v>
      </c>
      <c r="C592" s="334">
        <f t="shared" si="9"/>
        <v>-4.597694027306593E-3</v>
      </c>
    </row>
    <row r="593" spans="1:3" x14ac:dyDescent="0.3">
      <c r="A593" s="335">
        <v>40070</v>
      </c>
      <c r="B593">
        <v>24.136237999999999</v>
      </c>
      <c r="C593" s="334">
        <f t="shared" si="9"/>
        <v>-1.1547489952886391E-2</v>
      </c>
    </row>
    <row r="594" spans="1:3" x14ac:dyDescent="0.3">
      <c r="A594" s="335">
        <v>40071</v>
      </c>
      <c r="B594">
        <v>24.136237999999999</v>
      </c>
      <c r="C594" s="334">
        <f t="shared" si="9"/>
        <v>0</v>
      </c>
    </row>
    <row r="595" spans="1:3" x14ac:dyDescent="0.3">
      <c r="A595" s="335">
        <v>40072</v>
      </c>
      <c r="B595">
        <v>26.448359</v>
      </c>
      <c r="C595" s="334">
        <f t="shared" si="9"/>
        <v>9.5794589032474786E-2</v>
      </c>
    </row>
    <row r="596" spans="1:3" x14ac:dyDescent="0.3">
      <c r="A596" s="335">
        <v>40073</v>
      </c>
      <c r="B596">
        <v>25.038530000000002</v>
      </c>
      <c r="C596" s="334">
        <f t="shared" si="9"/>
        <v>-5.3304970641089619E-2</v>
      </c>
    </row>
    <row r="597" spans="1:3" x14ac:dyDescent="0.3">
      <c r="A597" s="335">
        <v>40074</v>
      </c>
      <c r="B597">
        <v>24.305422</v>
      </c>
      <c r="C597" s="334">
        <f t="shared" si="9"/>
        <v>-2.9279194904812757E-2</v>
      </c>
    </row>
    <row r="598" spans="1:3" x14ac:dyDescent="0.3">
      <c r="A598" s="335">
        <v>40077</v>
      </c>
      <c r="B598">
        <v>26.448359</v>
      </c>
      <c r="C598" s="334">
        <f t="shared" si="9"/>
        <v>8.8167035322406662E-2</v>
      </c>
    </row>
    <row r="599" spans="1:3" x14ac:dyDescent="0.3">
      <c r="A599" s="335">
        <v>40078</v>
      </c>
      <c r="B599">
        <v>26.279174999999999</v>
      </c>
      <c r="C599" s="334">
        <f t="shared" si="9"/>
        <v>-6.3967673760024707E-3</v>
      </c>
    </row>
    <row r="600" spans="1:3" x14ac:dyDescent="0.3">
      <c r="A600" s="335">
        <v>40079</v>
      </c>
      <c r="B600">
        <v>26.786715999999998</v>
      </c>
      <c r="C600" s="334">
        <f t="shared" si="9"/>
        <v>1.9313429740469394E-2</v>
      </c>
    </row>
    <row r="601" spans="1:3" x14ac:dyDescent="0.3">
      <c r="A601" s="335">
        <v>40080</v>
      </c>
      <c r="B601">
        <v>26.504749</v>
      </c>
      <c r="C601" s="334">
        <f t="shared" si="9"/>
        <v>-1.0526374341669881E-2</v>
      </c>
    </row>
    <row r="602" spans="1:3" x14ac:dyDescent="0.3">
      <c r="A602" s="335">
        <v>40081</v>
      </c>
      <c r="B602">
        <v>26.504749</v>
      </c>
      <c r="C602" s="334">
        <f t="shared" si="9"/>
        <v>0</v>
      </c>
    </row>
    <row r="603" spans="1:3" x14ac:dyDescent="0.3">
      <c r="A603" s="335">
        <v>40084</v>
      </c>
      <c r="B603">
        <v>27.068681999999999</v>
      </c>
      <c r="C603" s="334">
        <f t="shared" si="9"/>
        <v>2.1276677624828617E-2</v>
      </c>
    </row>
    <row r="604" spans="1:3" x14ac:dyDescent="0.3">
      <c r="A604" s="335">
        <v>40085</v>
      </c>
      <c r="B604">
        <v>27.068681999999999</v>
      </c>
      <c r="C604" s="334">
        <f t="shared" si="9"/>
        <v>0</v>
      </c>
    </row>
    <row r="605" spans="1:3" x14ac:dyDescent="0.3">
      <c r="A605" s="335">
        <v>40086</v>
      </c>
      <c r="B605">
        <v>25.940821</v>
      </c>
      <c r="C605" s="334">
        <f t="shared" si="9"/>
        <v>-4.1666638959370068E-2</v>
      </c>
    </row>
    <row r="606" spans="1:3" x14ac:dyDescent="0.3">
      <c r="A606" s="335">
        <v>40087</v>
      </c>
      <c r="B606">
        <v>26.504749</v>
      </c>
      <c r="C606" s="334">
        <f t="shared" si="9"/>
        <v>2.173901897707866E-2</v>
      </c>
    </row>
    <row r="607" spans="1:3" x14ac:dyDescent="0.3">
      <c r="A607" s="335">
        <v>40088</v>
      </c>
      <c r="B607">
        <v>25.940821</v>
      </c>
      <c r="C607" s="334">
        <f t="shared" si="9"/>
        <v>-2.1276488979390096E-2</v>
      </c>
    </row>
    <row r="608" spans="1:3" x14ac:dyDescent="0.3">
      <c r="A608" s="335">
        <v>40091</v>
      </c>
      <c r="B608">
        <v>25.884426000000001</v>
      </c>
      <c r="C608" s="334">
        <f t="shared" si="9"/>
        <v>-2.1739867061261638E-3</v>
      </c>
    </row>
    <row r="609" spans="1:3" x14ac:dyDescent="0.3">
      <c r="A609" s="335">
        <v>40092</v>
      </c>
      <c r="B609">
        <v>25.602461000000002</v>
      </c>
      <c r="C609" s="334">
        <f t="shared" si="9"/>
        <v>-1.0893229774536996E-2</v>
      </c>
    </row>
    <row r="610" spans="1:3" x14ac:dyDescent="0.3">
      <c r="A610" s="335">
        <v>40093</v>
      </c>
      <c r="B610">
        <v>25.320495999999999</v>
      </c>
      <c r="C610" s="334">
        <f t="shared" si="9"/>
        <v>-1.101319908269768E-2</v>
      </c>
    </row>
    <row r="611" spans="1:3" x14ac:dyDescent="0.3">
      <c r="A611" s="335">
        <v>40094</v>
      </c>
      <c r="B611">
        <v>25.320495999999999</v>
      </c>
      <c r="C611" s="334">
        <f t="shared" si="9"/>
        <v>0</v>
      </c>
    </row>
    <row r="612" spans="1:3" x14ac:dyDescent="0.3">
      <c r="A612" s="335">
        <v>40095</v>
      </c>
      <c r="B612">
        <v>24.530992999999999</v>
      </c>
      <c r="C612" s="334">
        <f t="shared" si="9"/>
        <v>-3.1180392358822667E-2</v>
      </c>
    </row>
    <row r="613" spans="1:3" x14ac:dyDescent="0.3">
      <c r="A613" s="335">
        <v>40098</v>
      </c>
      <c r="B613">
        <v>24.812956</v>
      </c>
      <c r="C613" s="334">
        <f t="shared" si="9"/>
        <v>1.1494153538749984E-2</v>
      </c>
    </row>
    <row r="614" spans="1:3" x14ac:dyDescent="0.3">
      <c r="A614" s="335">
        <v>40099</v>
      </c>
      <c r="B614">
        <v>26.053605999999998</v>
      </c>
      <c r="C614" s="334">
        <f t="shared" si="9"/>
        <v>5.0000088663357915E-2</v>
      </c>
    </row>
    <row r="615" spans="1:3" x14ac:dyDescent="0.3">
      <c r="A615" s="335">
        <v>40100</v>
      </c>
      <c r="B615">
        <v>25.940821</v>
      </c>
      <c r="C615" s="334">
        <f t="shared" si="9"/>
        <v>-4.328959300297963E-3</v>
      </c>
    </row>
    <row r="616" spans="1:3" x14ac:dyDescent="0.3">
      <c r="A616" s="335">
        <v>40101</v>
      </c>
      <c r="B616">
        <v>25.940821</v>
      </c>
      <c r="C616" s="334">
        <f t="shared" si="9"/>
        <v>0</v>
      </c>
    </row>
    <row r="617" spans="1:3" x14ac:dyDescent="0.3">
      <c r="A617" s="335">
        <v>40102</v>
      </c>
      <c r="B617">
        <v>25.940821</v>
      </c>
      <c r="C617" s="334">
        <f t="shared" si="9"/>
        <v>0</v>
      </c>
    </row>
    <row r="618" spans="1:3" x14ac:dyDescent="0.3">
      <c r="A618" s="335">
        <v>40105</v>
      </c>
      <c r="B618">
        <v>27.068681999999999</v>
      </c>
      <c r="C618" s="334">
        <f t="shared" si="9"/>
        <v>4.3478230700562615E-2</v>
      </c>
    </row>
    <row r="619" spans="1:3" x14ac:dyDescent="0.3">
      <c r="A619" s="335">
        <v>40106</v>
      </c>
      <c r="B619">
        <v>25.376885999999999</v>
      </c>
      <c r="C619" s="334">
        <f t="shared" si="9"/>
        <v>-6.2500124682834585E-2</v>
      </c>
    </row>
    <row r="620" spans="1:3" x14ac:dyDescent="0.3">
      <c r="A620" s="335">
        <v>40107</v>
      </c>
      <c r="B620">
        <v>25.320495999999999</v>
      </c>
      <c r="C620" s="334">
        <f t="shared" si="9"/>
        <v>-2.2221008519327542E-3</v>
      </c>
    </row>
    <row r="621" spans="1:3" x14ac:dyDescent="0.3">
      <c r="A621" s="335">
        <v>40108</v>
      </c>
      <c r="B621">
        <v>25.376885999999999</v>
      </c>
      <c r="C621" s="334">
        <f t="shared" si="9"/>
        <v>2.2270495807033318E-3</v>
      </c>
    </row>
    <row r="622" spans="1:3" x14ac:dyDescent="0.3">
      <c r="A622" s="335">
        <v>40109</v>
      </c>
      <c r="B622">
        <v>23.854277</v>
      </c>
      <c r="C622" s="334">
        <f t="shared" si="9"/>
        <v>-5.9999836071297295E-2</v>
      </c>
    </row>
    <row r="623" spans="1:3" x14ac:dyDescent="0.3">
      <c r="A623" s="335">
        <v>40112</v>
      </c>
      <c r="B623">
        <v>23.741488</v>
      </c>
      <c r="C623" s="334">
        <f t="shared" si="9"/>
        <v>-4.7282506193752748E-3</v>
      </c>
    </row>
    <row r="624" spans="1:3" x14ac:dyDescent="0.3">
      <c r="A624" s="335">
        <v>40113</v>
      </c>
      <c r="B624">
        <v>23.685099000000001</v>
      </c>
      <c r="C624" s="334">
        <f t="shared" si="9"/>
        <v>-2.3751249289850475E-3</v>
      </c>
    </row>
    <row r="625" spans="1:3" x14ac:dyDescent="0.3">
      <c r="A625" s="335">
        <v>40114</v>
      </c>
      <c r="B625">
        <v>23.177558999999999</v>
      </c>
      <c r="C625" s="334">
        <f t="shared" si="9"/>
        <v>-2.1428662806096031E-2</v>
      </c>
    </row>
    <row r="626" spans="1:3" x14ac:dyDescent="0.3">
      <c r="A626" s="335">
        <v>40115</v>
      </c>
      <c r="B626">
        <v>25.094923000000001</v>
      </c>
      <c r="C626" s="334">
        <f t="shared" si="9"/>
        <v>8.2725018626853802E-2</v>
      </c>
    </row>
    <row r="627" spans="1:3" x14ac:dyDescent="0.3">
      <c r="A627" s="335">
        <v>40116</v>
      </c>
      <c r="B627">
        <v>25.940821</v>
      </c>
      <c r="C627" s="334">
        <f t="shared" si="9"/>
        <v>3.3707933672480213E-2</v>
      </c>
    </row>
    <row r="628" spans="1:3" x14ac:dyDescent="0.3">
      <c r="A628" s="335">
        <v>40119</v>
      </c>
      <c r="B628">
        <v>24.474599999999999</v>
      </c>
      <c r="C628" s="334">
        <f t="shared" si="9"/>
        <v>-5.6521765444509292E-2</v>
      </c>
    </row>
    <row r="629" spans="1:3" x14ac:dyDescent="0.3">
      <c r="A629" s="335">
        <v>40120</v>
      </c>
      <c r="B629">
        <v>26.279174999999999</v>
      </c>
      <c r="C629" s="334">
        <f t="shared" si="9"/>
        <v>7.3732563555686303E-2</v>
      </c>
    </row>
    <row r="630" spans="1:3" x14ac:dyDescent="0.3">
      <c r="A630" s="335">
        <v>40121</v>
      </c>
      <c r="B630">
        <v>26.222781999999999</v>
      </c>
      <c r="C630" s="334">
        <f t="shared" si="9"/>
        <v>-2.1459197254099461E-3</v>
      </c>
    </row>
    <row r="631" spans="1:3" x14ac:dyDescent="0.3">
      <c r="A631" s="335">
        <v>40122</v>
      </c>
      <c r="B631">
        <v>26.222781999999999</v>
      </c>
      <c r="C631" s="334">
        <f t="shared" si="9"/>
        <v>0</v>
      </c>
    </row>
    <row r="632" spans="1:3" x14ac:dyDescent="0.3">
      <c r="A632" s="335">
        <v>40123</v>
      </c>
      <c r="B632">
        <v>27.068681999999999</v>
      </c>
      <c r="C632" s="334">
        <f t="shared" si="9"/>
        <v>3.2258209674320609E-2</v>
      </c>
    </row>
    <row r="633" spans="1:3" x14ac:dyDescent="0.3">
      <c r="A633" s="335">
        <v>40126</v>
      </c>
      <c r="B633">
        <v>27.068681999999999</v>
      </c>
      <c r="C633" s="334">
        <f t="shared" si="9"/>
        <v>0</v>
      </c>
    </row>
    <row r="634" spans="1:3" x14ac:dyDescent="0.3">
      <c r="A634" s="335">
        <v>40127</v>
      </c>
      <c r="B634">
        <v>26.053605999999998</v>
      </c>
      <c r="C634" s="334">
        <f t="shared" si="9"/>
        <v>-3.7500015700801415E-2</v>
      </c>
    </row>
    <row r="635" spans="1:3" x14ac:dyDescent="0.3">
      <c r="A635" s="335">
        <v>40128</v>
      </c>
      <c r="B635">
        <v>27.068681999999999</v>
      </c>
      <c r="C635" s="334">
        <f t="shared" si="9"/>
        <v>3.8961055909112946E-2</v>
      </c>
    </row>
    <row r="636" spans="1:3" x14ac:dyDescent="0.3">
      <c r="A636" s="335">
        <v>40129</v>
      </c>
      <c r="B636">
        <v>27.463433999999999</v>
      </c>
      <c r="C636" s="334">
        <f t="shared" si="9"/>
        <v>1.4583347648769913E-2</v>
      </c>
    </row>
    <row r="637" spans="1:3" x14ac:dyDescent="0.3">
      <c r="A637" s="335">
        <v>40130</v>
      </c>
      <c r="B637">
        <v>26.222781999999999</v>
      </c>
      <c r="C637" s="334">
        <f t="shared" si="9"/>
        <v>-4.5174685729395703E-2</v>
      </c>
    </row>
    <row r="638" spans="1:3" x14ac:dyDescent="0.3">
      <c r="A638" s="335">
        <v>40133</v>
      </c>
      <c r="B638">
        <v>27.407036000000002</v>
      </c>
      <c r="C638" s="334">
        <f t="shared" si="9"/>
        <v>4.5161264735374108E-2</v>
      </c>
    </row>
    <row r="639" spans="1:3" x14ac:dyDescent="0.3">
      <c r="A639" s="335">
        <v>40134</v>
      </c>
      <c r="B639">
        <v>27.519829000000001</v>
      </c>
      <c r="C639" s="334">
        <f t="shared" si="9"/>
        <v>4.1154760405320706E-3</v>
      </c>
    </row>
    <row r="640" spans="1:3" x14ac:dyDescent="0.3">
      <c r="A640" s="335">
        <v>40135</v>
      </c>
      <c r="B640">
        <v>27.519829000000001</v>
      </c>
      <c r="C640" s="334">
        <f t="shared" si="9"/>
        <v>0</v>
      </c>
    </row>
    <row r="641" spans="1:3" x14ac:dyDescent="0.3">
      <c r="A641" s="335">
        <v>40136</v>
      </c>
      <c r="B641">
        <v>26.673933000000002</v>
      </c>
      <c r="C641" s="334">
        <f t="shared" si="9"/>
        <v>-3.0737690993646788E-2</v>
      </c>
    </row>
    <row r="642" spans="1:3" x14ac:dyDescent="0.3">
      <c r="A642" s="335">
        <v>40137</v>
      </c>
      <c r="B642">
        <v>26.391961999999999</v>
      </c>
      <c r="C642" s="334">
        <f t="shared" si="9"/>
        <v>-1.057103202591092E-2</v>
      </c>
    </row>
    <row r="643" spans="1:3" x14ac:dyDescent="0.3">
      <c r="A643" s="335">
        <v>40140</v>
      </c>
      <c r="B643">
        <v>27.519829000000001</v>
      </c>
      <c r="C643" s="334">
        <f t="shared" si="9"/>
        <v>4.273524643601722E-2</v>
      </c>
    </row>
    <row r="644" spans="1:3" x14ac:dyDescent="0.3">
      <c r="A644" s="335">
        <v>40141</v>
      </c>
      <c r="B644">
        <v>27.632614</v>
      </c>
      <c r="C644" s="334">
        <f t="shared" si="9"/>
        <v>4.0983176167264266E-3</v>
      </c>
    </row>
    <row r="645" spans="1:3" x14ac:dyDescent="0.3">
      <c r="A645" s="335">
        <v>40142</v>
      </c>
      <c r="B645">
        <v>27.294253999999999</v>
      </c>
      <c r="C645" s="334">
        <f t="shared" si="9"/>
        <v>-1.2244950839612986E-2</v>
      </c>
    </row>
    <row r="646" spans="1:3" x14ac:dyDescent="0.3">
      <c r="A646" s="335">
        <v>40143</v>
      </c>
      <c r="B646">
        <v>27.294253999999999</v>
      </c>
      <c r="C646" s="334">
        <f t="shared" ref="C646:C709" si="10">(B646-B645)/B645</f>
        <v>0</v>
      </c>
    </row>
    <row r="647" spans="1:3" x14ac:dyDescent="0.3">
      <c r="A647" s="335">
        <v>40144</v>
      </c>
      <c r="B647">
        <v>26.786715999999998</v>
      </c>
      <c r="C647" s="334">
        <f t="shared" si="10"/>
        <v>-1.8595049346283664E-2</v>
      </c>
    </row>
    <row r="648" spans="1:3" x14ac:dyDescent="0.3">
      <c r="A648" s="335">
        <v>40147</v>
      </c>
      <c r="B648">
        <v>24.925743000000001</v>
      </c>
      <c r="C648" s="334">
        <f t="shared" si="10"/>
        <v>-6.9473727201199195E-2</v>
      </c>
    </row>
    <row r="649" spans="1:3" x14ac:dyDescent="0.3">
      <c r="A649" s="335">
        <v>40148</v>
      </c>
      <c r="B649">
        <v>24.136237999999999</v>
      </c>
      <c r="C649" s="334">
        <f t="shared" si="10"/>
        <v>-3.1674281484808775E-2</v>
      </c>
    </row>
    <row r="650" spans="1:3" x14ac:dyDescent="0.3">
      <c r="A650" s="335">
        <v>40149</v>
      </c>
      <c r="B650">
        <v>24.249029</v>
      </c>
      <c r="C650" s="334">
        <f t="shared" si="10"/>
        <v>4.6730977710777227E-3</v>
      </c>
    </row>
    <row r="651" spans="1:3" x14ac:dyDescent="0.3">
      <c r="A651" s="335">
        <v>40150</v>
      </c>
      <c r="B651">
        <v>26.222781999999999</v>
      </c>
      <c r="C651" s="334">
        <f t="shared" si="10"/>
        <v>8.1395135450578193E-2</v>
      </c>
    </row>
    <row r="652" spans="1:3" x14ac:dyDescent="0.3">
      <c r="A652" s="335">
        <v>40151</v>
      </c>
      <c r="B652">
        <v>26.222781999999999</v>
      </c>
      <c r="C652" s="334">
        <f t="shared" si="10"/>
        <v>0</v>
      </c>
    </row>
    <row r="653" spans="1:3" x14ac:dyDescent="0.3">
      <c r="A653" s="335">
        <v>40154</v>
      </c>
      <c r="B653">
        <v>26.222781999999999</v>
      </c>
      <c r="C653" s="334">
        <f t="shared" si="10"/>
        <v>0</v>
      </c>
    </row>
    <row r="654" spans="1:3" x14ac:dyDescent="0.3">
      <c r="A654" s="335">
        <v>40155</v>
      </c>
      <c r="B654">
        <v>25.940821</v>
      </c>
      <c r="C654" s="334">
        <f t="shared" si="10"/>
        <v>-1.0752520461025037E-2</v>
      </c>
    </row>
    <row r="655" spans="1:3" x14ac:dyDescent="0.3">
      <c r="A655" s="335">
        <v>40156</v>
      </c>
      <c r="B655">
        <v>25.940821</v>
      </c>
      <c r="C655" s="334">
        <f t="shared" si="10"/>
        <v>0</v>
      </c>
    </row>
    <row r="656" spans="1:3" x14ac:dyDescent="0.3">
      <c r="A656" s="335">
        <v>40157</v>
      </c>
      <c r="B656">
        <v>24.361810999999999</v>
      </c>
      <c r="C656" s="334">
        <f t="shared" si="10"/>
        <v>-6.0869700307480644E-2</v>
      </c>
    </row>
    <row r="657" spans="1:3" x14ac:dyDescent="0.3">
      <c r="A657" s="335">
        <v>40158</v>
      </c>
      <c r="B657">
        <v>24.418206999999999</v>
      </c>
      <c r="C657" s="334">
        <f t="shared" si="10"/>
        <v>2.3149346327331513E-3</v>
      </c>
    </row>
    <row r="658" spans="1:3" x14ac:dyDescent="0.3">
      <c r="A658" s="335">
        <v>40161</v>
      </c>
      <c r="B658">
        <v>25.320495999999999</v>
      </c>
      <c r="C658" s="334">
        <f t="shared" si="10"/>
        <v>3.6951484603271641E-2</v>
      </c>
    </row>
    <row r="659" spans="1:3" x14ac:dyDescent="0.3">
      <c r="A659" s="335">
        <v>40162</v>
      </c>
      <c r="B659">
        <v>25.376885999999999</v>
      </c>
      <c r="C659" s="334">
        <f t="shared" si="10"/>
        <v>2.2270495807033318E-3</v>
      </c>
    </row>
    <row r="660" spans="1:3" x14ac:dyDescent="0.3">
      <c r="A660" s="335">
        <v>40163</v>
      </c>
      <c r="B660">
        <v>25.884426000000001</v>
      </c>
      <c r="C660" s="334">
        <f t="shared" si="10"/>
        <v>2.0000089845539061E-2</v>
      </c>
    </row>
    <row r="661" spans="1:3" x14ac:dyDescent="0.3">
      <c r="A661" s="335">
        <v>40164</v>
      </c>
      <c r="B661">
        <v>25.940821</v>
      </c>
      <c r="C661" s="334">
        <f t="shared" si="10"/>
        <v>2.1787232214459155E-3</v>
      </c>
    </row>
    <row r="662" spans="1:3" x14ac:dyDescent="0.3">
      <c r="A662" s="335">
        <v>40165</v>
      </c>
      <c r="B662">
        <v>25.940821</v>
      </c>
      <c r="C662" s="334">
        <f t="shared" si="10"/>
        <v>0</v>
      </c>
    </row>
    <row r="663" spans="1:3" x14ac:dyDescent="0.3">
      <c r="A663" s="335">
        <v>40168</v>
      </c>
      <c r="B663">
        <v>25.940821</v>
      </c>
      <c r="C663" s="334">
        <f t="shared" si="10"/>
        <v>0</v>
      </c>
    </row>
    <row r="664" spans="1:3" x14ac:dyDescent="0.3">
      <c r="A664" s="335">
        <v>40169</v>
      </c>
      <c r="B664">
        <v>25.940821</v>
      </c>
      <c r="C664" s="334">
        <f t="shared" si="10"/>
        <v>0</v>
      </c>
    </row>
    <row r="665" spans="1:3" x14ac:dyDescent="0.3">
      <c r="A665" s="335">
        <v>40170</v>
      </c>
      <c r="B665">
        <v>25.940821</v>
      </c>
      <c r="C665" s="334">
        <f t="shared" si="10"/>
        <v>0</v>
      </c>
    </row>
    <row r="666" spans="1:3" x14ac:dyDescent="0.3">
      <c r="A666" s="335">
        <v>40175</v>
      </c>
      <c r="B666">
        <v>25.940821</v>
      </c>
      <c r="C666" s="334">
        <f t="shared" si="10"/>
        <v>0</v>
      </c>
    </row>
    <row r="667" spans="1:3" x14ac:dyDescent="0.3">
      <c r="A667" s="335">
        <v>40176</v>
      </c>
      <c r="B667">
        <v>25.940821</v>
      </c>
      <c r="C667" s="334">
        <f t="shared" si="10"/>
        <v>0</v>
      </c>
    </row>
    <row r="668" spans="1:3" x14ac:dyDescent="0.3">
      <c r="A668" s="335">
        <v>40177</v>
      </c>
      <c r="B668">
        <v>25.940821</v>
      </c>
      <c r="C668" s="334">
        <f t="shared" si="10"/>
        <v>0</v>
      </c>
    </row>
    <row r="669" spans="1:3" x14ac:dyDescent="0.3">
      <c r="A669" s="335">
        <v>40182</v>
      </c>
      <c r="B669">
        <v>25.940821</v>
      </c>
      <c r="C669" s="334">
        <f t="shared" si="10"/>
        <v>0</v>
      </c>
    </row>
    <row r="670" spans="1:3" x14ac:dyDescent="0.3">
      <c r="A670" s="335">
        <v>40183</v>
      </c>
      <c r="B670">
        <v>26.786715999999998</v>
      </c>
      <c r="C670" s="334">
        <f t="shared" si="10"/>
        <v>3.2608644113461129E-2</v>
      </c>
    </row>
    <row r="671" spans="1:3" x14ac:dyDescent="0.3">
      <c r="A671" s="335">
        <v>40184</v>
      </c>
      <c r="B671">
        <v>25.433277</v>
      </c>
      <c r="C671" s="334">
        <f t="shared" si="10"/>
        <v>-5.0526499776978935E-2</v>
      </c>
    </row>
    <row r="672" spans="1:3" x14ac:dyDescent="0.3">
      <c r="A672" s="335">
        <v>40185</v>
      </c>
      <c r="B672">
        <v>24.869350000000001</v>
      </c>
      <c r="C672" s="334">
        <f t="shared" si="10"/>
        <v>-2.2172801405025377E-2</v>
      </c>
    </row>
    <row r="673" spans="1:3" x14ac:dyDescent="0.3">
      <c r="A673" s="335">
        <v>40186</v>
      </c>
      <c r="B673">
        <v>25.376885999999999</v>
      </c>
      <c r="C673" s="334">
        <f t="shared" si="10"/>
        <v>2.0408092692410465E-2</v>
      </c>
    </row>
    <row r="674" spans="1:3" x14ac:dyDescent="0.3">
      <c r="A674" s="335">
        <v>40189</v>
      </c>
      <c r="B674">
        <v>26.222781999999999</v>
      </c>
      <c r="C674" s="334">
        <f t="shared" si="10"/>
        <v>3.33333254521457E-2</v>
      </c>
    </row>
    <row r="675" spans="1:3" x14ac:dyDescent="0.3">
      <c r="A675" s="335">
        <v>40190</v>
      </c>
      <c r="B675">
        <v>25.658854000000002</v>
      </c>
      <c r="C675" s="334">
        <f t="shared" si="10"/>
        <v>-2.1505269730724877E-2</v>
      </c>
    </row>
    <row r="676" spans="1:3" x14ac:dyDescent="0.3">
      <c r="A676" s="335">
        <v>40191</v>
      </c>
      <c r="B676">
        <v>27.068681999999999</v>
      </c>
      <c r="C676" s="334">
        <f t="shared" si="10"/>
        <v>5.4945088350399331E-2</v>
      </c>
    </row>
    <row r="677" spans="1:3" x14ac:dyDescent="0.3">
      <c r="A677" s="335">
        <v>40192</v>
      </c>
      <c r="B677">
        <v>27.012288999999999</v>
      </c>
      <c r="C677" s="334">
        <f t="shared" si="10"/>
        <v>-2.0833301008153968E-3</v>
      </c>
    </row>
    <row r="678" spans="1:3" x14ac:dyDescent="0.3">
      <c r="A678" s="335">
        <v>40193</v>
      </c>
      <c r="B678">
        <v>27.012288999999999</v>
      </c>
      <c r="C678" s="334">
        <f t="shared" si="10"/>
        <v>0</v>
      </c>
    </row>
    <row r="679" spans="1:3" x14ac:dyDescent="0.3">
      <c r="A679" s="335">
        <v>40196</v>
      </c>
      <c r="B679">
        <v>27.068681999999999</v>
      </c>
      <c r="C679" s="334">
        <f t="shared" si="10"/>
        <v>2.0876794262048625E-3</v>
      </c>
    </row>
    <row r="680" spans="1:3" x14ac:dyDescent="0.3">
      <c r="A680" s="335">
        <v>40197</v>
      </c>
      <c r="B680">
        <v>26.504749</v>
      </c>
      <c r="C680" s="334">
        <f t="shared" si="10"/>
        <v>-2.0833411837340242E-2</v>
      </c>
    </row>
    <row r="681" spans="1:3" x14ac:dyDescent="0.3">
      <c r="A681" s="335">
        <v>40198</v>
      </c>
      <c r="B681">
        <v>26.786715999999998</v>
      </c>
      <c r="C681" s="334">
        <f t="shared" si="10"/>
        <v>1.0638357676958121E-2</v>
      </c>
    </row>
    <row r="682" spans="1:3" x14ac:dyDescent="0.3">
      <c r="A682" s="335">
        <v>40199</v>
      </c>
      <c r="B682">
        <v>26.504749</v>
      </c>
      <c r="C682" s="334">
        <f t="shared" si="10"/>
        <v>-1.0526374341669881E-2</v>
      </c>
    </row>
    <row r="683" spans="1:3" x14ac:dyDescent="0.3">
      <c r="A683" s="335">
        <v>40200</v>
      </c>
      <c r="B683">
        <v>26.504749</v>
      </c>
      <c r="C683" s="334">
        <f t="shared" si="10"/>
        <v>0</v>
      </c>
    </row>
    <row r="684" spans="1:3" x14ac:dyDescent="0.3">
      <c r="A684" s="335">
        <v>40203</v>
      </c>
      <c r="B684">
        <v>25.828032</v>
      </c>
      <c r="C684" s="334">
        <f t="shared" si="10"/>
        <v>-2.553191505416633E-2</v>
      </c>
    </row>
    <row r="685" spans="1:3" x14ac:dyDescent="0.3">
      <c r="A685" s="335">
        <v>40204</v>
      </c>
      <c r="B685">
        <v>25.546066</v>
      </c>
      <c r="C685" s="334">
        <f t="shared" si="10"/>
        <v>-1.0917053223412477E-2</v>
      </c>
    </row>
    <row r="686" spans="1:3" x14ac:dyDescent="0.3">
      <c r="A686" s="335">
        <v>40205</v>
      </c>
      <c r="B686">
        <v>25.376885999999999</v>
      </c>
      <c r="C686" s="334">
        <f t="shared" si="10"/>
        <v>-6.6225461094479585E-3</v>
      </c>
    </row>
    <row r="687" spans="1:3" x14ac:dyDescent="0.3">
      <c r="A687" s="335">
        <v>40206</v>
      </c>
      <c r="B687">
        <v>25.997212999999999</v>
      </c>
      <c r="C687" s="334">
        <f t="shared" si="10"/>
        <v>2.444456739097144E-2</v>
      </c>
    </row>
    <row r="688" spans="1:3" x14ac:dyDescent="0.3">
      <c r="A688" s="335">
        <v>40207</v>
      </c>
      <c r="B688">
        <v>25.376885999999999</v>
      </c>
      <c r="C688" s="334">
        <f t="shared" si="10"/>
        <v>-2.3861288515811277E-2</v>
      </c>
    </row>
    <row r="689" spans="1:3" x14ac:dyDescent="0.3">
      <c r="A689" s="335">
        <v>40210</v>
      </c>
      <c r="B689">
        <v>26.448359</v>
      </c>
      <c r="C689" s="334">
        <f t="shared" si="10"/>
        <v>4.2222398760825147E-2</v>
      </c>
    </row>
    <row r="690" spans="1:3" x14ac:dyDescent="0.3">
      <c r="A690" s="335">
        <v>40211</v>
      </c>
      <c r="B690">
        <v>27.012288999999999</v>
      </c>
      <c r="C690" s="334">
        <f t="shared" si="10"/>
        <v>2.1321927761189234E-2</v>
      </c>
    </row>
    <row r="691" spans="1:3" x14ac:dyDescent="0.3">
      <c r="A691" s="335">
        <v>40212</v>
      </c>
      <c r="B691">
        <v>27.068681999999999</v>
      </c>
      <c r="C691" s="334">
        <f t="shared" si="10"/>
        <v>2.0876794262048625E-3</v>
      </c>
    </row>
    <row r="692" spans="1:3" x14ac:dyDescent="0.3">
      <c r="A692" s="335">
        <v>40213</v>
      </c>
      <c r="B692">
        <v>27.632614</v>
      </c>
      <c r="C692" s="334">
        <f t="shared" si="10"/>
        <v>2.0833374894278237E-2</v>
      </c>
    </row>
    <row r="693" spans="1:3" x14ac:dyDescent="0.3">
      <c r="A693" s="335">
        <v>40214</v>
      </c>
      <c r="B693">
        <v>25.997212999999999</v>
      </c>
      <c r="C693" s="334">
        <f t="shared" si="10"/>
        <v>-5.9183723986445932E-2</v>
      </c>
    </row>
    <row r="694" spans="1:3" x14ac:dyDescent="0.3">
      <c r="A694" s="335">
        <v>40217</v>
      </c>
      <c r="B694">
        <v>26.504749</v>
      </c>
      <c r="C694" s="334">
        <f t="shared" si="10"/>
        <v>1.9522708068745745E-2</v>
      </c>
    </row>
    <row r="695" spans="1:3" x14ac:dyDescent="0.3">
      <c r="A695" s="335">
        <v>40218</v>
      </c>
      <c r="B695">
        <v>26.504749</v>
      </c>
      <c r="C695" s="334">
        <f t="shared" si="10"/>
        <v>0</v>
      </c>
    </row>
    <row r="696" spans="1:3" x14ac:dyDescent="0.3">
      <c r="A696" s="335">
        <v>40219</v>
      </c>
      <c r="B696">
        <v>25.658854000000002</v>
      </c>
      <c r="C696" s="334">
        <f t="shared" si="10"/>
        <v>-3.1914846656348216E-2</v>
      </c>
    </row>
    <row r="697" spans="1:3" x14ac:dyDescent="0.3">
      <c r="A697" s="335">
        <v>40220</v>
      </c>
      <c r="B697">
        <v>27.068681999999999</v>
      </c>
      <c r="C697" s="334">
        <f t="shared" si="10"/>
        <v>5.4945088350399331E-2</v>
      </c>
    </row>
    <row r="698" spans="1:3" x14ac:dyDescent="0.3">
      <c r="A698" s="335">
        <v>40221</v>
      </c>
      <c r="B698">
        <v>25.940821</v>
      </c>
      <c r="C698" s="334">
        <f t="shared" si="10"/>
        <v>-4.1666638959370068E-2</v>
      </c>
    </row>
    <row r="699" spans="1:3" x14ac:dyDescent="0.3">
      <c r="A699" s="335">
        <v>40224</v>
      </c>
      <c r="B699">
        <v>26.786715999999998</v>
      </c>
      <c r="C699" s="334">
        <f t="shared" si="10"/>
        <v>3.2608644113461129E-2</v>
      </c>
    </row>
    <row r="700" spans="1:3" x14ac:dyDescent="0.3">
      <c r="A700" s="335">
        <v>40225</v>
      </c>
      <c r="B700">
        <v>27.068681999999999</v>
      </c>
      <c r="C700" s="334">
        <f t="shared" si="10"/>
        <v>1.0526337009732758E-2</v>
      </c>
    </row>
    <row r="701" spans="1:3" x14ac:dyDescent="0.3">
      <c r="A701" s="335">
        <v>40226</v>
      </c>
      <c r="B701">
        <v>28.140152</v>
      </c>
      <c r="C701" s="334">
        <f t="shared" si="10"/>
        <v>3.9583382744678944E-2</v>
      </c>
    </row>
    <row r="702" spans="1:3" x14ac:dyDescent="0.3">
      <c r="A702" s="335">
        <v>40227</v>
      </c>
      <c r="B702">
        <v>28.196541</v>
      </c>
      <c r="C702" s="334">
        <f t="shared" si="10"/>
        <v>2.0038626657027069E-3</v>
      </c>
    </row>
    <row r="703" spans="1:3" x14ac:dyDescent="0.3">
      <c r="A703" s="335">
        <v>40228</v>
      </c>
      <c r="B703">
        <v>27.068681999999999</v>
      </c>
      <c r="C703" s="334">
        <f t="shared" si="10"/>
        <v>-3.9999906371494323E-2</v>
      </c>
    </row>
    <row r="704" spans="1:3" x14ac:dyDescent="0.3">
      <c r="A704" s="335">
        <v>40231</v>
      </c>
      <c r="B704">
        <v>27.801787999999998</v>
      </c>
      <c r="C704" s="334">
        <f t="shared" si="10"/>
        <v>2.7083180481413886E-2</v>
      </c>
    </row>
    <row r="705" spans="1:3" x14ac:dyDescent="0.3">
      <c r="A705" s="335">
        <v>40232</v>
      </c>
      <c r="B705">
        <v>27.068681999999999</v>
      </c>
      <c r="C705" s="334">
        <f t="shared" si="10"/>
        <v>-2.6369023459929967E-2</v>
      </c>
    </row>
    <row r="706" spans="1:3" x14ac:dyDescent="0.3">
      <c r="A706" s="335">
        <v>40233</v>
      </c>
      <c r="B706">
        <v>27.068681999999999</v>
      </c>
      <c r="C706" s="334">
        <f t="shared" si="10"/>
        <v>0</v>
      </c>
    </row>
    <row r="707" spans="1:3" x14ac:dyDescent="0.3">
      <c r="A707" s="335">
        <v>40234</v>
      </c>
      <c r="B707">
        <v>27.632614</v>
      </c>
      <c r="C707" s="334">
        <f t="shared" si="10"/>
        <v>2.0833374894278237E-2</v>
      </c>
    </row>
    <row r="708" spans="1:3" x14ac:dyDescent="0.3">
      <c r="A708" s="335">
        <v>40235</v>
      </c>
      <c r="B708">
        <v>27.068681999999999</v>
      </c>
      <c r="C708" s="334">
        <f t="shared" si="10"/>
        <v>-2.0408203147194152E-2</v>
      </c>
    </row>
    <row r="709" spans="1:3" x14ac:dyDescent="0.3">
      <c r="A709" s="335">
        <v>40238</v>
      </c>
      <c r="B709">
        <v>27.519829000000001</v>
      </c>
      <c r="C709" s="334">
        <f t="shared" si="10"/>
        <v>1.6666751635709579E-2</v>
      </c>
    </row>
    <row r="710" spans="1:3" x14ac:dyDescent="0.3">
      <c r="A710" s="335">
        <v>40239</v>
      </c>
      <c r="B710">
        <v>28.083756999999999</v>
      </c>
      <c r="C710" s="334">
        <f t="shared" ref="C710:C773" si="11">(B710-B709)/B709</f>
        <v>2.0491697095937518E-2</v>
      </c>
    </row>
    <row r="711" spans="1:3" x14ac:dyDescent="0.3">
      <c r="A711" s="335">
        <v>40240</v>
      </c>
      <c r="B711">
        <v>27.801787999999998</v>
      </c>
      <c r="C711" s="334">
        <f t="shared" si="11"/>
        <v>-1.004028770082294E-2</v>
      </c>
    </row>
    <row r="712" spans="1:3" x14ac:dyDescent="0.3">
      <c r="A712" s="335">
        <v>40241</v>
      </c>
      <c r="B712">
        <v>28.140152</v>
      </c>
      <c r="C712" s="334">
        <f t="shared" si="11"/>
        <v>1.2170584136531151E-2</v>
      </c>
    </row>
    <row r="713" spans="1:3" x14ac:dyDescent="0.3">
      <c r="A713" s="335">
        <v>40242</v>
      </c>
      <c r="B713">
        <v>27.970967999999999</v>
      </c>
      <c r="C713" s="334">
        <f t="shared" si="11"/>
        <v>-6.0121921160909628E-3</v>
      </c>
    </row>
    <row r="714" spans="1:3" x14ac:dyDescent="0.3">
      <c r="A714" s="335">
        <v>40245</v>
      </c>
      <c r="B714">
        <v>28.196541</v>
      </c>
      <c r="C714" s="334">
        <f t="shared" si="11"/>
        <v>8.0645403476919605E-3</v>
      </c>
    </row>
    <row r="715" spans="1:3" x14ac:dyDescent="0.3">
      <c r="A715" s="335">
        <v>40246</v>
      </c>
      <c r="B715">
        <v>27.068681999999999</v>
      </c>
      <c r="C715" s="334">
        <f t="shared" si="11"/>
        <v>-3.9999906371494323E-2</v>
      </c>
    </row>
    <row r="716" spans="1:3" x14ac:dyDescent="0.3">
      <c r="A716" s="335">
        <v>40247</v>
      </c>
      <c r="B716">
        <v>27.068681999999999</v>
      </c>
      <c r="C716" s="334">
        <f t="shared" si="11"/>
        <v>0</v>
      </c>
    </row>
    <row r="717" spans="1:3" x14ac:dyDescent="0.3">
      <c r="A717" s="335">
        <v>40248</v>
      </c>
      <c r="B717">
        <v>27.294253999999999</v>
      </c>
      <c r="C717" s="334">
        <f t="shared" si="11"/>
        <v>8.3333204032615873E-3</v>
      </c>
    </row>
    <row r="718" spans="1:3" x14ac:dyDescent="0.3">
      <c r="A718" s="335">
        <v>40249</v>
      </c>
      <c r="B718">
        <v>27.068681999999999</v>
      </c>
      <c r="C718" s="334">
        <f t="shared" si="11"/>
        <v>-8.2644500926824984E-3</v>
      </c>
    </row>
    <row r="719" spans="1:3" x14ac:dyDescent="0.3">
      <c r="A719" s="335">
        <v>40252</v>
      </c>
      <c r="B719">
        <v>27.970967999999999</v>
      </c>
      <c r="C719" s="334">
        <f t="shared" si="11"/>
        <v>3.3333207726922214E-2</v>
      </c>
    </row>
    <row r="720" spans="1:3" x14ac:dyDescent="0.3">
      <c r="A720" s="335">
        <v>40253</v>
      </c>
      <c r="B720">
        <v>27.914577000000001</v>
      </c>
      <c r="C720" s="334">
        <f t="shared" si="11"/>
        <v>-2.0160546463746931E-3</v>
      </c>
    </row>
    <row r="721" spans="1:3" x14ac:dyDescent="0.3">
      <c r="A721" s="335">
        <v>40254</v>
      </c>
      <c r="B721">
        <v>27.970967999999999</v>
      </c>
      <c r="C721" s="334">
        <f t="shared" si="11"/>
        <v>2.0201273334716071E-3</v>
      </c>
    </row>
    <row r="722" spans="1:3" x14ac:dyDescent="0.3">
      <c r="A722" s="335">
        <v>40255</v>
      </c>
      <c r="B722">
        <v>28.083756999999999</v>
      </c>
      <c r="C722" s="334">
        <f t="shared" si="11"/>
        <v>4.0323595522328498E-3</v>
      </c>
    </row>
    <row r="723" spans="1:3" x14ac:dyDescent="0.3">
      <c r="A723" s="335">
        <v>40256</v>
      </c>
      <c r="B723">
        <v>28.027360999999999</v>
      </c>
      <c r="C723" s="334">
        <f t="shared" si="11"/>
        <v>-2.0081358772617015E-3</v>
      </c>
    </row>
    <row r="724" spans="1:3" x14ac:dyDescent="0.3">
      <c r="A724" s="335">
        <v>40259</v>
      </c>
      <c r="B724">
        <v>28.027360999999999</v>
      </c>
      <c r="C724" s="334">
        <f t="shared" si="11"/>
        <v>0</v>
      </c>
    </row>
    <row r="725" spans="1:3" x14ac:dyDescent="0.3">
      <c r="A725" s="335">
        <v>40260</v>
      </c>
      <c r="B725">
        <v>28.027360999999999</v>
      </c>
      <c r="C725" s="334">
        <f t="shared" si="11"/>
        <v>0</v>
      </c>
    </row>
    <row r="726" spans="1:3" x14ac:dyDescent="0.3">
      <c r="A726" s="335">
        <v>40261</v>
      </c>
      <c r="B726">
        <v>27.914577000000001</v>
      </c>
      <c r="C726" s="334">
        <f t="shared" si="11"/>
        <v>-4.0240677672078286E-3</v>
      </c>
    </row>
    <row r="727" spans="1:3" x14ac:dyDescent="0.3">
      <c r="A727" s="335">
        <v>40262</v>
      </c>
      <c r="B727">
        <v>27.970967999999999</v>
      </c>
      <c r="C727" s="334">
        <f t="shared" si="11"/>
        <v>2.0201273334716071E-3</v>
      </c>
    </row>
    <row r="728" spans="1:3" x14ac:dyDescent="0.3">
      <c r="A728" s="335">
        <v>40263</v>
      </c>
      <c r="B728">
        <v>28.196541</v>
      </c>
      <c r="C728" s="334">
        <f t="shared" si="11"/>
        <v>8.0645403476919605E-3</v>
      </c>
    </row>
    <row r="729" spans="1:3" x14ac:dyDescent="0.3">
      <c r="A729" s="335">
        <v>40266</v>
      </c>
      <c r="B729">
        <v>28.196541</v>
      </c>
      <c r="C729" s="334">
        <f t="shared" si="11"/>
        <v>0</v>
      </c>
    </row>
    <row r="730" spans="1:3" x14ac:dyDescent="0.3">
      <c r="A730" s="335">
        <v>40267</v>
      </c>
      <c r="B730">
        <v>28.196541</v>
      </c>
      <c r="C730" s="334">
        <f t="shared" si="11"/>
        <v>0</v>
      </c>
    </row>
    <row r="731" spans="1:3" x14ac:dyDescent="0.3">
      <c r="A731" s="335">
        <v>40268</v>
      </c>
      <c r="B731">
        <v>28.196541</v>
      </c>
      <c r="C731" s="334">
        <f t="shared" si="11"/>
        <v>0</v>
      </c>
    </row>
    <row r="732" spans="1:3" x14ac:dyDescent="0.3">
      <c r="A732" s="335">
        <v>40274</v>
      </c>
      <c r="B732">
        <v>27.858180999999998</v>
      </c>
      <c r="C732" s="334">
        <f t="shared" si="11"/>
        <v>-1.2000053481737407E-2</v>
      </c>
    </row>
    <row r="733" spans="1:3" x14ac:dyDescent="0.3">
      <c r="A733" s="335">
        <v>40275</v>
      </c>
      <c r="B733">
        <v>28.760473000000001</v>
      </c>
      <c r="C733" s="334">
        <f t="shared" si="11"/>
        <v>3.2388762209564319E-2</v>
      </c>
    </row>
    <row r="734" spans="1:3" x14ac:dyDescent="0.3">
      <c r="A734" s="335">
        <v>40276</v>
      </c>
      <c r="B734">
        <v>29.042442000000001</v>
      </c>
      <c r="C734" s="334">
        <f t="shared" si="11"/>
        <v>9.8040459904814546E-3</v>
      </c>
    </row>
    <row r="735" spans="1:3" x14ac:dyDescent="0.3">
      <c r="A735" s="335">
        <v>40277</v>
      </c>
      <c r="B735">
        <v>30.311285000000002</v>
      </c>
      <c r="C735" s="334">
        <f t="shared" si="11"/>
        <v>4.3689266901178636E-2</v>
      </c>
    </row>
    <row r="736" spans="1:3" x14ac:dyDescent="0.3">
      <c r="A736" s="335">
        <v>40280</v>
      </c>
      <c r="B736">
        <v>29.606366999999999</v>
      </c>
      <c r="C736" s="334">
        <f t="shared" si="11"/>
        <v>-2.3255958960499458E-2</v>
      </c>
    </row>
    <row r="737" spans="1:3" x14ac:dyDescent="0.3">
      <c r="A737" s="335">
        <v>40281</v>
      </c>
      <c r="B737">
        <v>28.619492999999999</v>
      </c>
      <c r="C737" s="334">
        <f t="shared" si="11"/>
        <v>-3.3333167828393136E-2</v>
      </c>
    </row>
    <row r="738" spans="1:3" x14ac:dyDescent="0.3">
      <c r="A738" s="335">
        <v>40282</v>
      </c>
      <c r="B738">
        <v>29.747347000000001</v>
      </c>
      <c r="C738" s="334">
        <f t="shared" si="11"/>
        <v>3.9408594694532249E-2</v>
      </c>
    </row>
    <row r="739" spans="1:3" x14ac:dyDescent="0.3">
      <c r="A739" s="335">
        <v>40283</v>
      </c>
      <c r="B739">
        <v>29.606366999999999</v>
      </c>
      <c r="C739" s="334">
        <f t="shared" si="11"/>
        <v>-4.739246158657528E-3</v>
      </c>
    </row>
    <row r="740" spans="1:3" x14ac:dyDescent="0.3">
      <c r="A740" s="335">
        <v>40284</v>
      </c>
      <c r="B740">
        <v>30.452261</v>
      </c>
      <c r="C740" s="334">
        <f t="shared" si="11"/>
        <v>2.8571354263088114E-2</v>
      </c>
    </row>
    <row r="741" spans="1:3" x14ac:dyDescent="0.3">
      <c r="A741" s="335">
        <v>40287</v>
      </c>
      <c r="B741">
        <v>30.452261</v>
      </c>
      <c r="C741" s="334">
        <f t="shared" si="11"/>
        <v>0</v>
      </c>
    </row>
    <row r="742" spans="1:3" x14ac:dyDescent="0.3">
      <c r="A742" s="335">
        <v>40288</v>
      </c>
      <c r="B742">
        <v>31.016196999999998</v>
      </c>
      <c r="C742" s="334">
        <f t="shared" si="11"/>
        <v>1.8518690615452107E-2</v>
      </c>
    </row>
    <row r="743" spans="1:3" x14ac:dyDescent="0.3">
      <c r="A743" s="335">
        <v>40289</v>
      </c>
      <c r="B743">
        <v>30.029316000000001</v>
      </c>
      <c r="C743" s="334">
        <f t="shared" si="11"/>
        <v>-3.1818246447170712E-2</v>
      </c>
    </row>
    <row r="744" spans="1:3" x14ac:dyDescent="0.3">
      <c r="A744" s="335">
        <v>40290</v>
      </c>
      <c r="B744">
        <v>31.016196999999998</v>
      </c>
      <c r="C744" s="334">
        <f t="shared" si="11"/>
        <v>3.2863918711967886E-2</v>
      </c>
    </row>
    <row r="745" spans="1:3" x14ac:dyDescent="0.3">
      <c r="A745" s="335">
        <v>40291</v>
      </c>
      <c r="B745">
        <v>32.567008999999999</v>
      </c>
      <c r="C745" s="334">
        <f t="shared" si="11"/>
        <v>5.0000069318620867E-2</v>
      </c>
    </row>
    <row r="746" spans="1:3" x14ac:dyDescent="0.3">
      <c r="A746" s="335">
        <v>40294</v>
      </c>
      <c r="B746">
        <v>33.553885999999999</v>
      </c>
      <c r="C746" s="334">
        <f t="shared" si="11"/>
        <v>3.030296703022374E-2</v>
      </c>
    </row>
    <row r="747" spans="1:3" x14ac:dyDescent="0.3">
      <c r="A747" s="335">
        <v>40295</v>
      </c>
      <c r="B747">
        <v>33.553885999999999</v>
      </c>
      <c r="C747" s="334">
        <f t="shared" si="11"/>
        <v>0</v>
      </c>
    </row>
    <row r="748" spans="1:3" x14ac:dyDescent="0.3">
      <c r="A748" s="335">
        <v>40296</v>
      </c>
      <c r="B748">
        <v>31.298161</v>
      </c>
      <c r="C748" s="334">
        <f t="shared" si="11"/>
        <v>-6.722693758928544E-2</v>
      </c>
    </row>
    <row r="749" spans="1:3" x14ac:dyDescent="0.3">
      <c r="A749" s="335">
        <v>40297</v>
      </c>
      <c r="B749">
        <v>31.862099000000001</v>
      </c>
      <c r="C749" s="334">
        <f t="shared" si="11"/>
        <v>1.8018247142380036E-2</v>
      </c>
    </row>
    <row r="750" spans="1:3" x14ac:dyDescent="0.3">
      <c r="A750" s="335">
        <v>40298</v>
      </c>
      <c r="B750">
        <v>32.144053999999997</v>
      </c>
      <c r="C750" s="334">
        <f t="shared" si="11"/>
        <v>8.8492286713438562E-3</v>
      </c>
    </row>
    <row r="751" spans="1:3" x14ac:dyDescent="0.3">
      <c r="A751" s="335">
        <v>40301</v>
      </c>
      <c r="B751">
        <v>33.271918999999997</v>
      </c>
      <c r="C751" s="334">
        <f t="shared" si="11"/>
        <v>3.5087826818608503E-2</v>
      </c>
    </row>
    <row r="752" spans="1:3" x14ac:dyDescent="0.3">
      <c r="A752" s="335">
        <v>40302</v>
      </c>
      <c r="B752">
        <v>33.271918999999997</v>
      </c>
      <c r="C752" s="334">
        <f t="shared" si="11"/>
        <v>0</v>
      </c>
    </row>
    <row r="753" spans="1:3" x14ac:dyDescent="0.3">
      <c r="A753" s="335">
        <v>40303</v>
      </c>
      <c r="B753">
        <v>33.271918999999997</v>
      </c>
      <c r="C753" s="334">
        <f t="shared" si="11"/>
        <v>0</v>
      </c>
    </row>
    <row r="754" spans="1:3" x14ac:dyDescent="0.3">
      <c r="A754" s="335">
        <v>40304</v>
      </c>
      <c r="B754">
        <v>32.144053999999997</v>
      </c>
      <c r="C754" s="334">
        <f t="shared" si="11"/>
        <v>-3.3898405439133222E-2</v>
      </c>
    </row>
    <row r="755" spans="1:3" x14ac:dyDescent="0.3">
      <c r="A755" s="335">
        <v>40305</v>
      </c>
      <c r="B755">
        <v>29.042442000000001</v>
      </c>
      <c r="C755" s="334">
        <f t="shared" si="11"/>
        <v>-9.6491002659465294E-2</v>
      </c>
    </row>
    <row r="756" spans="1:3" x14ac:dyDescent="0.3">
      <c r="A756" s="335">
        <v>40308</v>
      </c>
      <c r="B756">
        <v>30.452261</v>
      </c>
      <c r="C756" s="334">
        <f t="shared" si="11"/>
        <v>4.8543404166908513E-2</v>
      </c>
    </row>
    <row r="757" spans="1:3" x14ac:dyDescent="0.3">
      <c r="A757" s="335">
        <v>40309</v>
      </c>
      <c r="B757">
        <v>31.016196999999998</v>
      </c>
      <c r="C757" s="334">
        <f t="shared" si="11"/>
        <v>1.8518690615452107E-2</v>
      </c>
    </row>
    <row r="758" spans="1:3" x14ac:dyDescent="0.3">
      <c r="A758" s="335">
        <v>40310</v>
      </c>
      <c r="B758">
        <v>32.144053999999997</v>
      </c>
      <c r="C758" s="334">
        <f t="shared" si="11"/>
        <v>3.6363484536805039E-2</v>
      </c>
    </row>
    <row r="759" spans="1:3" x14ac:dyDescent="0.3">
      <c r="A759" s="335">
        <v>40312</v>
      </c>
      <c r="B759">
        <v>32.707993000000002</v>
      </c>
      <c r="C759" s="334">
        <f t="shared" si="11"/>
        <v>1.7544115623997051E-2</v>
      </c>
    </row>
    <row r="760" spans="1:3" x14ac:dyDescent="0.3">
      <c r="A760" s="335">
        <v>40316</v>
      </c>
      <c r="B760">
        <v>32.426025000000003</v>
      </c>
      <c r="C760" s="334">
        <f t="shared" si="11"/>
        <v>-8.6207674069148504E-3</v>
      </c>
    </row>
    <row r="761" spans="1:3" x14ac:dyDescent="0.3">
      <c r="A761" s="335">
        <v>40317</v>
      </c>
      <c r="B761">
        <v>30.170303000000001</v>
      </c>
      <c r="C761" s="334">
        <f t="shared" si="11"/>
        <v>-6.9565171802587644E-2</v>
      </c>
    </row>
    <row r="762" spans="1:3" x14ac:dyDescent="0.3">
      <c r="A762" s="335">
        <v>40318</v>
      </c>
      <c r="B762">
        <v>29.324404000000001</v>
      </c>
      <c r="C762" s="334">
        <f t="shared" si="11"/>
        <v>-2.8037471151681814E-2</v>
      </c>
    </row>
    <row r="763" spans="1:3" x14ac:dyDescent="0.3">
      <c r="A763" s="335">
        <v>40319</v>
      </c>
      <c r="B763">
        <v>27.914577000000001</v>
      </c>
      <c r="C763" s="334">
        <f t="shared" si="11"/>
        <v>-4.8076919142158864E-2</v>
      </c>
    </row>
    <row r="764" spans="1:3" x14ac:dyDescent="0.3">
      <c r="A764" s="335">
        <v>40323</v>
      </c>
      <c r="B764">
        <v>25.940821</v>
      </c>
      <c r="C764" s="334">
        <f t="shared" si="11"/>
        <v>-7.0707000145479607E-2</v>
      </c>
    </row>
    <row r="765" spans="1:3" x14ac:dyDescent="0.3">
      <c r="A765" s="335">
        <v>40324</v>
      </c>
      <c r="B765">
        <v>30.452261</v>
      </c>
      <c r="C765" s="334">
        <f t="shared" si="11"/>
        <v>0.17391276860512628</v>
      </c>
    </row>
    <row r="766" spans="1:3" x14ac:dyDescent="0.3">
      <c r="A766" s="335">
        <v>40325</v>
      </c>
      <c r="B766">
        <v>29.606366999999999</v>
      </c>
      <c r="C766" s="334">
        <f t="shared" si="11"/>
        <v>-2.7777707540336701E-2</v>
      </c>
    </row>
    <row r="767" spans="1:3" x14ac:dyDescent="0.3">
      <c r="A767" s="335">
        <v>40326</v>
      </c>
      <c r="B767">
        <v>31.016196999999998</v>
      </c>
      <c r="C767" s="334">
        <f t="shared" si="11"/>
        <v>4.7619148948602828E-2</v>
      </c>
    </row>
    <row r="768" spans="1:3" x14ac:dyDescent="0.3">
      <c r="A768" s="335">
        <v>40329</v>
      </c>
      <c r="B768">
        <v>30.170303000000001</v>
      </c>
      <c r="C768" s="334">
        <f t="shared" si="11"/>
        <v>-2.7272653704127483E-2</v>
      </c>
    </row>
    <row r="769" spans="1:3" x14ac:dyDescent="0.3">
      <c r="A769" s="335">
        <v>40330</v>
      </c>
      <c r="B769">
        <v>29.888331999999998</v>
      </c>
      <c r="C769" s="334">
        <f t="shared" si="11"/>
        <v>-9.3459783947149027E-3</v>
      </c>
    </row>
    <row r="770" spans="1:3" x14ac:dyDescent="0.3">
      <c r="A770" s="335">
        <v>40331</v>
      </c>
      <c r="B770">
        <v>31.58013</v>
      </c>
      <c r="C770" s="334">
        <f t="shared" si="11"/>
        <v>5.6603961706528226E-2</v>
      </c>
    </row>
    <row r="771" spans="1:3" x14ac:dyDescent="0.3">
      <c r="A771" s="335">
        <v>40332</v>
      </c>
      <c r="B771">
        <v>32.431266999999998</v>
      </c>
      <c r="C771" s="334">
        <f t="shared" si="11"/>
        <v>2.6951662326912453E-2</v>
      </c>
    </row>
    <row r="772" spans="1:3" x14ac:dyDescent="0.3">
      <c r="A772" s="335">
        <v>40333</v>
      </c>
      <c r="B772">
        <v>32.578010999999996</v>
      </c>
      <c r="C772" s="334">
        <f t="shared" si="11"/>
        <v>4.5247692604793461E-3</v>
      </c>
    </row>
    <row r="773" spans="1:3" x14ac:dyDescent="0.3">
      <c r="A773" s="335">
        <v>40336</v>
      </c>
      <c r="B773">
        <v>30.523541999999999</v>
      </c>
      <c r="C773" s="334">
        <f t="shared" si="11"/>
        <v>-6.3063058085406062E-2</v>
      </c>
    </row>
    <row r="774" spans="1:3" x14ac:dyDescent="0.3">
      <c r="A774" s="335">
        <v>40337</v>
      </c>
      <c r="B774">
        <v>30.523541999999999</v>
      </c>
      <c r="C774" s="334">
        <f t="shared" ref="C774:C837" si="12">(B774-B773)/B773</f>
        <v>0</v>
      </c>
    </row>
    <row r="775" spans="1:3" x14ac:dyDescent="0.3">
      <c r="A775" s="335">
        <v>40338</v>
      </c>
      <c r="B775">
        <v>30.523541999999999</v>
      </c>
      <c r="C775" s="334">
        <f t="shared" si="12"/>
        <v>0</v>
      </c>
    </row>
    <row r="776" spans="1:3" x14ac:dyDescent="0.3">
      <c r="A776" s="335">
        <v>40339</v>
      </c>
      <c r="B776">
        <v>31.404033999999999</v>
      </c>
      <c r="C776" s="334">
        <f t="shared" si="12"/>
        <v>2.8846324584479752E-2</v>
      </c>
    </row>
    <row r="777" spans="1:3" x14ac:dyDescent="0.3">
      <c r="A777" s="335">
        <v>40340</v>
      </c>
      <c r="B777">
        <v>31.697520999999998</v>
      </c>
      <c r="C777" s="334">
        <f t="shared" si="12"/>
        <v>9.3455191138819595E-3</v>
      </c>
    </row>
    <row r="778" spans="1:3" x14ac:dyDescent="0.3">
      <c r="A778" s="335">
        <v>40343</v>
      </c>
      <c r="B778">
        <v>29.936551999999999</v>
      </c>
      <c r="C778" s="334">
        <f t="shared" si="12"/>
        <v>-5.5555417093973984E-2</v>
      </c>
    </row>
    <row r="779" spans="1:3" x14ac:dyDescent="0.3">
      <c r="A779" s="335">
        <v>40344</v>
      </c>
      <c r="B779">
        <v>31.110534999999999</v>
      </c>
      <c r="C779" s="334">
        <f t="shared" si="12"/>
        <v>3.9215705268930097E-2</v>
      </c>
    </row>
    <row r="780" spans="1:3" x14ac:dyDescent="0.3">
      <c r="A780" s="335">
        <v>40345</v>
      </c>
      <c r="B780">
        <v>31.697520999999998</v>
      </c>
      <c r="C780" s="334">
        <f t="shared" si="12"/>
        <v>1.886775653327722E-2</v>
      </c>
    </row>
    <row r="781" spans="1:3" x14ac:dyDescent="0.3">
      <c r="A781" s="335">
        <v>40346</v>
      </c>
      <c r="B781">
        <v>32.578010999999996</v>
      </c>
      <c r="C781" s="334">
        <f t="shared" si="12"/>
        <v>2.7777882062133448E-2</v>
      </c>
    </row>
    <row r="782" spans="1:3" x14ac:dyDescent="0.3">
      <c r="A782" s="335">
        <v>40347</v>
      </c>
      <c r="B782">
        <v>30.817036000000002</v>
      </c>
      <c r="C782" s="334">
        <f t="shared" si="12"/>
        <v>-5.405409802335677E-2</v>
      </c>
    </row>
    <row r="783" spans="1:3" x14ac:dyDescent="0.3">
      <c r="A783" s="335">
        <v>40350</v>
      </c>
      <c r="B783">
        <v>32.137768000000001</v>
      </c>
      <c r="C783" s="334">
        <f t="shared" si="12"/>
        <v>4.2857204047787062E-2</v>
      </c>
    </row>
    <row r="784" spans="1:3" x14ac:dyDescent="0.3">
      <c r="A784" s="335">
        <v>40351</v>
      </c>
      <c r="B784">
        <v>30.817036000000002</v>
      </c>
      <c r="C784" s="334">
        <f t="shared" si="12"/>
        <v>-4.1095946675574965E-2</v>
      </c>
    </row>
    <row r="785" spans="1:3" x14ac:dyDescent="0.3">
      <c r="A785" s="335">
        <v>40352</v>
      </c>
      <c r="B785">
        <v>30.817036000000002</v>
      </c>
      <c r="C785" s="334">
        <f t="shared" si="12"/>
        <v>0</v>
      </c>
    </row>
    <row r="786" spans="1:3" x14ac:dyDescent="0.3">
      <c r="A786" s="335">
        <v>40353</v>
      </c>
      <c r="B786">
        <v>0</v>
      </c>
      <c r="C786" s="334">
        <f t="shared" si="12"/>
        <v>-1</v>
      </c>
    </row>
    <row r="787" spans="1:3" x14ac:dyDescent="0.3">
      <c r="A787" s="335">
        <v>40354</v>
      </c>
      <c r="B787">
        <v>30.230051</v>
      </c>
      <c r="C787" s="334" t="e">
        <f t="shared" si="12"/>
        <v>#DIV/0!</v>
      </c>
    </row>
    <row r="788" spans="1:3" x14ac:dyDescent="0.3">
      <c r="A788" s="335">
        <v>40357</v>
      </c>
      <c r="B788">
        <v>28.175578999999999</v>
      </c>
      <c r="C788" s="334">
        <f t="shared" si="12"/>
        <v>-6.7961248229452223E-2</v>
      </c>
    </row>
    <row r="789" spans="1:3" x14ac:dyDescent="0.3">
      <c r="A789" s="335">
        <v>40358</v>
      </c>
      <c r="B789">
        <v>28.175578999999999</v>
      </c>
      <c r="C789" s="334">
        <f t="shared" si="12"/>
        <v>0</v>
      </c>
    </row>
    <row r="790" spans="1:3" x14ac:dyDescent="0.3">
      <c r="A790" s="335">
        <v>40359</v>
      </c>
      <c r="B790">
        <v>28.175578999999999</v>
      </c>
      <c r="C790" s="334">
        <f t="shared" si="12"/>
        <v>0</v>
      </c>
    </row>
    <row r="791" spans="1:3" x14ac:dyDescent="0.3">
      <c r="A791" s="335">
        <v>40360</v>
      </c>
      <c r="B791">
        <v>27.588584999999998</v>
      </c>
      <c r="C791" s="334">
        <f t="shared" si="12"/>
        <v>-2.0833431674997724E-2</v>
      </c>
    </row>
    <row r="792" spans="1:3" x14ac:dyDescent="0.3">
      <c r="A792" s="335">
        <v>40361</v>
      </c>
      <c r="B792">
        <v>27.177690999999999</v>
      </c>
      <c r="C792" s="334">
        <f t="shared" si="12"/>
        <v>-1.4893623576562516E-2</v>
      </c>
    </row>
    <row r="793" spans="1:3" x14ac:dyDescent="0.3">
      <c r="A793" s="335">
        <v>40364</v>
      </c>
      <c r="B793">
        <v>27.060295</v>
      </c>
      <c r="C793" s="334">
        <f t="shared" si="12"/>
        <v>-4.3195722550528441E-3</v>
      </c>
    </row>
    <row r="794" spans="1:3" x14ac:dyDescent="0.3">
      <c r="A794" s="335">
        <v>40365</v>
      </c>
      <c r="B794">
        <v>29.290865</v>
      </c>
      <c r="C794" s="334">
        <f t="shared" si="12"/>
        <v>8.24296261367439E-2</v>
      </c>
    </row>
    <row r="795" spans="1:3" x14ac:dyDescent="0.3">
      <c r="A795" s="335">
        <v>40366</v>
      </c>
      <c r="B795">
        <v>30.230051</v>
      </c>
      <c r="C795" s="334">
        <f t="shared" si="12"/>
        <v>3.2064126477657773E-2</v>
      </c>
    </row>
    <row r="796" spans="1:3" x14ac:dyDescent="0.3">
      <c r="A796" s="335">
        <v>40367</v>
      </c>
      <c r="B796">
        <v>31.110534999999999</v>
      </c>
      <c r="C796" s="334">
        <f t="shared" si="12"/>
        <v>2.9126116922528485E-2</v>
      </c>
    </row>
    <row r="797" spans="1:3" x14ac:dyDescent="0.3">
      <c r="A797" s="335">
        <v>40368</v>
      </c>
      <c r="B797">
        <v>30.963781000000001</v>
      </c>
      <c r="C797" s="334">
        <f t="shared" si="12"/>
        <v>-4.7171802092120189E-3</v>
      </c>
    </row>
    <row r="798" spans="1:3" x14ac:dyDescent="0.3">
      <c r="A798" s="335">
        <v>40371</v>
      </c>
      <c r="B798">
        <v>30.376792999999999</v>
      </c>
      <c r="C798" s="334">
        <f t="shared" si="12"/>
        <v>-1.8957245563776644E-2</v>
      </c>
    </row>
    <row r="799" spans="1:3" x14ac:dyDescent="0.3">
      <c r="A799" s="335">
        <v>40372</v>
      </c>
      <c r="B799">
        <v>28.762573</v>
      </c>
      <c r="C799" s="334">
        <f t="shared" si="12"/>
        <v>-5.3139908482109997E-2</v>
      </c>
    </row>
    <row r="800" spans="1:3" x14ac:dyDescent="0.3">
      <c r="A800" s="335">
        <v>40373</v>
      </c>
      <c r="B800">
        <v>29.936551999999999</v>
      </c>
      <c r="C800" s="334">
        <f t="shared" si="12"/>
        <v>4.0816202361311671E-2</v>
      </c>
    </row>
    <row r="801" spans="1:3" x14ac:dyDescent="0.3">
      <c r="A801" s="335">
        <v>40374</v>
      </c>
      <c r="B801">
        <v>29.936551999999999</v>
      </c>
      <c r="C801" s="334">
        <f t="shared" si="12"/>
        <v>0</v>
      </c>
    </row>
    <row r="802" spans="1:3" x14ac:dyDescent="0.3">
      <c r="A802" s="335">
        <v>40375</v>
      </c>
      <c r="B802">
        <v>29.056066999999999</v>
      </c>
      <c r="C802" s="334">
        <f t="shared" si="12"/>
        <v>-2.9411703792741401E-2</v>
      </c>
    </row>
    <row r="803" spans="1:3" x14ac:dyDescent="0.3">
      <c r="A803" s="335">
        <v>40378</v>
      </c>
      <c r="B803">
        <v>29.936551999999999</v>
      </c>
      <c r="C803" s="334">
        <f t="shared" si="12"/>
        <v>3.0302965642252967E-2</v>
      </c>
    </row>
    <row r="804" spans="1:3" x14ac:dyDescent="0.3">
      <c r="A804" s="335">
        <v>40379</v>
      </c>
      <c r="B804">
        <v>28.762573</v>
      </c>
      <c r="C804" s="334">
        <f t="shared" si="12"/>
        <v>-3.9215571653007979E-2</v>
      </c>
    </row>
    <row r="805" spans="1:3" x14ac:dyDescent="0.3">
      <c r="A805" s="335">
        <v>40380</v>
      </c>
      <c r="B805">
        <v>29.936551999999999</v>
      </c>
      <c r="C805" s="334">
        <f t="shared" si="12"/>
        <v>4.0816202361311671E-2</v>
      </c>
    </row>
    <row r="806" spans="1:3" x14ac:dyDescent="0.3">
      <c r="A806" s="335">
        <v>40381</v>
      </c>
      <c r="B806">
        <v>0</v>
      </c>
      <c r="C806" s="334">
        <f t="shared" si="12"/>
        <v>-1</v>
      </c>
    </row>
    <row r="807" spans="1:3" x14ac:dyDescent="0.3">
      <c r="A807" s="335">
        <v>40382</v>
      </c>
      <c r="B807">
        <v>29.349557999999998</v>
      </c>
      <c r="C807" s="334" t="e">
        <f t="shared" si="12"/>
        <v>#DIV/0!</v>
      </c>
    </row>
    <row r="808" spans="1:3" x14ac:dyDescent="0.3">
      <c r="A808" s="335">
        <v>40385</v>
      </c>
      <c r="B808">
        <v>29.789805999999999</v>
      </c>
      <c r="C808" s="334">
        <f t="shared" si="12"/>
        <v>1.5000157753653409E-2</v>
      </c>
    </row>
    <row r="809" spans="1:3" x14ac:dyDescent="0.3">
      <c r="A809" s="335">
        <v>40386</v>
      </c>
      <c r="B809">
        <v>29.643056999999999</v>
      </c>
      <c r="C809" s="334">
        <f t="shared" si="12"/>
        <v>-4.9261482266786099E-3</v>
      </c>
    </row>
    <row r="810" spans="1:3" x14ac:dyDescent="0.3">
      <c r="A810" s="335">
        <v>40387</v>
      </c>
      <c r="B810">
        <v>29.936551999999999</v>
      </c>
      <c r="C810" s="334">
        <f t="shared" si="12"/>
        <v>9.900969390572641E-3</v>
      </c>
    </row>
    <row r="811" spans="1:3" x14ac:dyDescent="0.3">
      <c r="A811" s="335">
        <v>40388</v>
      </c>
      <c r="B811">
        <v>0</v>
      </c>
      <c r="C811" s="334">
        <f t="shared" si="12"/>
        <v>-1</v>
      </c>
    </row>
    <row r="812" spans="1:3" x14ac:dyDescent="0.3">
      <c r="A812" s="335">
        <v>40389</v>
      </c>
      <c r="B812">
        <v>30.817036000000002</v>
      </c>
      <c r="C812" s="334" t="e">
        <f t="shared" si="12"/>
        <v>#DIV/0!</v>
      </c>
    </row>
    <row r="813" spans="1:3" x14ac:dyDescent="0.3">
      <c r="A813" s="335">
        <v>40392</v>
      </c>
      <c r="B813">
        <v>0</v>
      </c>
      <c r="C813" s="334">
        <f t="shared" si="12"/>
        <v>-1</v>
      </c>
    </row>
    <row r="814" spans="1:3" x14ac:dyDescent="0.3">
      <c r="A814" s="335">
        <v>40393</v>
      </c>
      <c r="B814">
        <v>31.110534999999999</v>
      </c>
      <c r="C814" s="334" t="e">
        <f t="shared" si="12"/>
        <v>#DIV/0!</v>
      </c>
    </row>
    <row r="815" spans="1:3" x14ac:dyDescent="0.3">
      <c r="A815" s="335">
        <v>40394</v>
      </c>
      <c r="B815">
        <v>30.817036000000002</v>
      </c>
      <c r="C815" s="334">
        <f t="shared" si="12"/>
        <v>-9.4340711273527469E-3</v>
      </c>
    </row>
    <row r="816" spans="1:3" x14ac:dyDescent="0.3">
      <c r="A816" s="335">
        <v>40395</v>
      </c>
      <c r="B816">
        <v>31.110534999999999</v>
      </c>
      <c r="C816" s="334">
        <f t="shared" si="12"/>
        <v>9.5239204704825296E-3</v>
      </c>
    </row>
    <row r="817" spans="1:3" x14ac:dyDescent="0.3">
      <c r="A817" s="335">
        <v>40396</v>
      </c>
      <c r="B817">
        <v>29.643056999999999</v>
      </c>
      <c r="C817" s="334">
        <f t="shared" si="12"/>
        <v>-4.7169809198073898E-2</v>
      </c>
    </row>
    <row r="818" spans="1:3" x14ac:dyDescent="0.3">
      <c r="A818" s="335">
        <v>40399</v>
      </c>
      <c r="B818">
        <v>31.110534999999999</v>
      </c>
      <c r="C818" s="334">
        <f t="shared" si="12"/>
        <v>4.9504948157000135E-2</v>
      </c>
    </row>
    <row r="819" spans="1:3" x14ac:dyDescent="0.3">
      <c r="A819" s="335">
        <v>40400</v>
      </c>
      <c r="B819">
        <v>31.110534999999999</v>
      </c>
      <c r="C819" s="334">
        <f t="shared" si="12"/>
        <v>0</v>
      </c>
    </row>
    <row r="820" spans="1:3" x14ac:dyDescent="0.3">
      <c r="A820" s="335">
        <v>40401</v>
      </c>
      <c r="B820">
        <v>31.110534999999999</v>
      </c>
      <c r="C820" s="334">
        <f t="shared" si="12"/>
        <v>0</v>
      </c>
    </row>
    <row r="821" spans="1:3" x14ac:dyDescent="0.3">
      <c r="A821" s="335">
        <v>40402</v>
      </c>
      <c r="B821">
        <v>31.404033999999999</v>
      </c>
      <c r="C821" s="334">
        <f t="shared" si="12"/>
        <v>9.4340711273528614E-3</v>
      </c>
    </row>
    <row r="822" spans="1:3" x14ac:dyDescent="0.3">
      <c r="A822" s="335">
        <v>40403</v>
      </c>
      <c r="B822">
        <v>30.523541999999999</v>
      </c>
      <c r="C822" s="334">
        <f t="shared" si="12"/>
        <v>-2.8037544475974018E-2</v>
      </c>
    </row>
    <row r="823" spans="1:3" x14ac:dyDescent="0.3">
      <c r="A823" s="335">
        <v>40406</v>
      </c>
      <c r="B823">
        <v>31.991019999999999</v>
      </c>
      <c r="C823" s="334">
        <f t="shared" si="12"/>
        <v>4.8076923706953795E-2</v>
      </c>
    </row>
    <row r="824" spans="1:3" x14ac:dyDescent="0.3">
      <c r="A824" s="335">
        <v>40407</v>
      </c>
      <c r="B824">
        <v>31.844270999999999</v>
      </c>
      <c r="C824" s="334">
        <f t="shared" si="12"/>
        <v>-4.5871935311846829E-3</v>
      </c>
    </row>
    <row r="825" spans="1:3" x14ac:dyDescent="0.3">
      <c r="A825" s="335">
        <v>40408</v>
      </c>
      <c r="B825">
        <v>31.991019999999999</v>
      </c>
      <c r="C825" s="334">
        <f t="shared" si="12"/>
        <v>4.6083328458045025E-3</v>
      </c>
    </row>
    <row r="826" spans="1:3" x14ac:dyDescent="0.3">
      <c r="A826" s="335">
        <v>40409</v>
      </c>
      <c r="B826">
        <v>30.523541999999999</v>
      </c>
      <c r="C826" s="334">
        <f t="shared" si="12"/>
        <v>-4.5871560206582972E-2</v>
      </c>
    </row>
    <row r="827" spans="1:3" x14ac:dyDescent="0.3">
      <c r="A827" s="335">
        <v>40410</v>
      </c>
      <c r="B827">
        <v>29.643056999999999</v>
      </c>
      <c r="C827" s="334">
        <f t="shared" si="12"/>
        <v>-2.8846095253296625E-2</v>
      </c>
    </row>
    <row r="828" spans="1:3" x14ac:dyDescent="0.3">
      <c r="A828" s="335">
        <v>40413</v>
      </c>
      <c r="B828">
        <v>29.643056999999999</v>
      </c>
      <c r="C828" s="334">
        <f t="shared" si="12"/>
        <v>0</v>
      </c>
    </row>
    <row r="829" spans="1:3" x14ac:dyDescent="0.3">
      <c r="A829" s="335">
        <v>40414</v>
      </c>
      <c r="B829">
        <v>29.056066999999999</v>
      </c>
      <c r="C829" s="334">
        <f t="shared" si="12"/>
        <v>-1.9801938781145282E-2</v>
      </c>
    </row>
    <row r="830" spans="1:3" x14ac:dyDescent="0.3">
      <c r="A830" s="335">
        <v>40415</v>
      </c>
      <c r="B830">
        <v>27.060295</v>
      </c>
      <c r="C830" s="334">
        <f t="shared" si="12"/>
        <v>-6.8686928619761195E-2</v>
      </c>
    </row>
    <row r="831" spans="1:3" x14ac:dyDescent="0.3">
      <c r="A831" s="335">
        <v>40416</v>
      </c>
      <c r="B831">
        <v>28.175578999999999</v>
      </c>
      <c r="C831" s="334">
        <f t="shared" si="12"/>
        <v>4.121477611385977E-2</v>
      </c>
    </row>
    <row r="832" spans="1:3" x14ac:dyDescent="0.3">
      <c r="A832" s="335">
        <v>40417</v>
      </c>
      <c r="B832">
        <v>27.999480999999999</v>
      </c>
      <c r="C832" s="334">
        <f t="shared" si="12"/>
        <v>-6.2500224041535987E-3</v>
      </c>
    </row>
    <row r="833" spans="1:3" x14ac:dyDescent="0.3">
      <c r="A833" s="335">
        <v>40420</v>
      </c>
      <c r="B833">
        <v>28.469073999999999</v>
      </c>
      <c r="C833" s="334">
        <f t="shared" si="12"/>
        <v>1.6771489442965023E-2</v>
      </c>
    </row>
    <row r="834" spans="1:3" x14ac:dyDescent="0.3">
      <c r="A834" s="335">
        <v>40421</v>
      </c>
      <c r="B834">
        <v>28.175578999999999</v>
      </c>
      <c r="C834" s="334">
        <f t="shared" si="12"/>
        <v>-1.0309256985316772E-2</v>
      </c>
    </row>
    <row r="835" spans="1:3" x14ac:dyDescent="0.3">
      <c r="A835" s="335">
        <v>40422</v>
      </c>
      <c r="B835">
        <v>28.703873000000002</v>
      </c>
      <c r="C835" s="334">
        <f t="shared" si="12"/>
        <v>1.8750067212460923E-2</v>
      </c>
    </row>
    <row r="836" spans="1:3" x14ac:dyDescent="0.3">
      <c r="A836" s="335">
        <v>40423</v>
      </c>
      <c r="B836">
        <v>28.175578999999999</v>
      </c>
      <c r="C836" s="334">
        <f t="shared" si="12"/>
        <v>-1.8404972736606049E-2</v>
      </c>
    </row>
    <row r="837" spans="1:3" x14ac:dyDescent="0.3">
      <c r="A837" s="335">
        <v>40424</v>
      </c>
      <c r="B837">
        <v>29.056066999999999</v>
      </c>
      <c r="C837" s="334">
        <f t="shared" si="12"/>
        <v>3.1250041037311063E-2</v>
      </c>
    </row>
    <row r="838" spans="1:3" x14ac:dyDescent="0.3">
      <c r="A838" s="335">
        <v>40427</v>
      </c>
      <c r="B838">
        <v>29.056066999999999</v>
      </c>
      <c r="C838" s="334">
        <f t="shared" ref="C838:C901" si="13">(B838-B837)/B837</f>
        <v>0</v>
      </c>
    </row>
    <row r="839" spans="1:3" x14ac:dyDescent="0.3">
      <c r="A839" s="335">
        <v>40428</v>
      </c>
      <c r="B839">
        <v>29.349557999999998</v>
      </c>
      <c r="C839" s="334">
        <f t="shared" si="13"/>
        <v>1.0100850882536839E-2</v>
      </c>
    </row>
    <row r="840" spans="1:3" x14ac:dyDescent="0.3">
      <c r="A840" s="335">
        <v>40429</v>
      </c>
      <c r="B840">
        <v>29.349557999999998</v>
      </c>
      <c r="C840" s="334">
        <f t="shared" si="13"/>
        <v>0</v>
      </c>
    </row>
    <row r="841" spans="1:3" x14ac:dyDescent="0.3">
      <c r="A841" s="335">
        <v>40430</v>
      </c>
      <c r="B841">
        <v>29.789805999999999</v>
      </c>
      <c r="C841" s="334">
        <f t="shared" si="13"/>
        <v>1.5000157753653409E-2</v>
      </c>
    </row>
    <row r="842" spans="1:3" x14ac:dyDescent="0.3">
      <c r="A842" s="335">
        <v>40431</v>
      </c>
      <c r="B842">
        <v>29.643056999999999</v>
      </c>
      <c r="C842" s="334">
        <f t="shared" si="13"/>
        <v>-4.9261482266786099E-3</v>
      </c>
    </row>
    <row r="843" spans="1:3" x14ac:dyDescent="0.3">
      <c r="A843" s="335">
        <v>40434</v>
      </c>
      <c r="B843">
        <v>30.376792999999999</v>
      </c>
      <c r="C843" s="334">
        <f t="shared" si="13"/>
        <v>2.4752372874363139E-2</v>
      </c>
    </row>
    <row r="844" spans="1:3" x14ac:dyDescent="0.3">
      <c r="A844" s="335">
        <v>40435</v>
      </c>
      <c r="B844">
        <v>30.376792999999999</v>
      </c>
      <c r="C844" s="334">
        <f t="shared" si="13"/>
        <v>0</v>
      </c>
    </row>
    <row r="845" spans="1:3" x14ac:dyDescent="0.3">
      <c r="A845" s="335">
        <v>40436</v>
      </c>
      <c r="B845">
        <v>29.643056999999999</v>
      </c>
      <c r="C845" s="334">
        <f t="shared" si="13"/>
        <v>-2.4154491884643661E-2</v>
      </c>
    </row>
    <row r="846" spans="1:3" x14ac:dyDescent="0.3">
      <c r="A846" s="335">
        <v>40437</v>
      </c>
      <c r="B846">
        <v>30.230051</v>
      </c>
      <c r="C846" s="334">
        <f t="shared" si="13"/>
        <v>1.9802073719994557E-2</v>
      </c>
    </row>
    <row r="847" spans="1:3" x14ac:dyDescent="0.3">
      <c r="A847" s="335">
        <v>40438</v>
      </c>
      <c r="B847">
        <v>29.789805999999999</v>
      </c>
      <c r="C847" s="334">
        <f t="shared" si="13"/>
        <v>-1.4563157700263254E-2</v>
      </c>
    </row>
    <row r="848" spans="1:3" x14ac:dyDescent="0.3">
      <c r="A848" s="335">
        <v>40441</v>
      </c>
      <c r="B848">
        <v>0</v>
      </c>
      <c r="C848" s="334">
        <f t="shared" si="13"/>
        <v>-1</v>
      </c>
    </row>
    <row r="849" spans="1:3" x14ac:dyDescent="0.3">
      <c r="A849" s="335">
        <v>40442</v>
      </c>
      <c r="B849">
        <v>30.230051</v>
      </c>
      <c r="C849" s="334" t="e">
        <f t="shared" si="13"/>
        <v>#DIV/0!</v>
      </c>
    </row>
    <row r="850" spans="1:3" x14ac:dyDescent="0.3">
      <c r="A850" s="335">
        <v>40443</v>
      </c>
      <c r="B850">
        <v>29.936551999999999</v>
      </c>
      <c r="C850" s="334">
        <f t="shared" si="13"/>
        <v>-9.708848986063591E-3</v>
      </c>
    </row>
    <row r="851" spans="1:3" x14ac:dyDescent="0.3">
      <c r="A851" s="335">
        <v>40444</v>
      </c>
      <c r="B851">
        <v>29.789805999999999</v>
      </c>
      <c r="C851" s="334">
        <f t="shared" si="13"/>
        <v>-4.901900526152787E-3</v>
      </c>
    </row>
    <row r="852" spans="1:3" x14ac:dyDescent="0.3">
      <c r="A852" s="335">
        <v>40445</v>
      </c>
      <c r="B852">
        <v>29.349557999999998</v>
      </c>
      <c r="C852" s="334">
        <f t="shared" si="13"/>
        <v>-1.4778478248565983E-2</v>
      </c>
    </row>
    <row r="853" spans="1:3" x14ac:dyDescent="0.3">
      <c r="A853" s="335">
        <v>40448</v>
      </c>
      <c r="B853">
        <v>0</v>
      </c>
      <c r="C853" s="334">
        <f t="shared" si="13"/>
        <v>-1</v>
      </c>
    </row>
    <row r="854" spans="1:3" x14ac:dyDescent="0.3">
      <c r="A854" s="335">
        <v>40449</v>
      </c>
      <c r="B854">
        <v>30.817036000000002</v>
      </c>
      <c r="C854" s="334" t="e">
        <f t="shared" si="13"/>
        <v>#DIV/0!</v>
      </c>
    </row>
    <row r="855" spans="1:3" x14ac:dyDescent="0.3">
      <c r="A855" s="335">
        <v>40450</v>
      </c>
      <c r="B855">
        <v>30.817036000000002</v>
      </c>
      <c r="C855" s="334">
        <f t="shared" si="13"/>
        <v>0</v>
      </c>
    </row>
    <row r="856" spans="1:3" x14ac:dyDescent="0.3">
      <c r="A856" s="335">
        <v>40451</v>
      </c>
      <c r="B856">
        <v>30.523541999999999</v>
      </c>
      <c r="C856" s="334">
        <f t="shared" si="13"/>
        <v>-9.5237582225624357E-3</v>
      </c>
    </row>
    <row r="857" spans="1:3" x14ac:dyDescent="0.3">
      <c r="A857" s="335">
        <v>40452</v>
      </c>
      <c r="B857">
        <v>30.523541999999999</v>
      </c>
      <c r="C857" s="334">
        <f t="shared" si="13"/>
        <v>0</v>
      </c>
    </row>
    <row r="858" spans="1:3" x14ac:dyDescent="0.3">
      <c r="A858" s="335">
        <v>40455</v>
      </c>
      <c r="B858">
        <v>30.523541999999999</v>
      </c>
      <c r="C858" s="334">
        <f t="shared" si="13"/>
        <v>0</v>
      </c>
    </row>
    <row r="859" spans="1:3" x14ac:dyDescent="0.3">
      <c r="A859" s="335">
        <v>40456</v>
      </c>
      <c r="B859">
        <v>29.056066999999999</v>
      </c>
      <c r="C859" s="334">
        <f t="shared" si="13"/>
        <v>-4.8076825422161046E-2</v>
      </c>
    </row>
    <row r="860" spans="1:3" x14ac:dyDescent="0.3">
      <c r="A860" s="335">
        <v>40457</v>
      </c>
      <c r="B860">
        <v>30.523541999999999</v>
      </c>
      <c r="C860" s="334">
        <f t="shared" si="13"/>
        <v>5.0504942737088276E-2</v>
      </c>
    </row>
    <row r="861" spans="1:3" x14ac:dyDescent="0.3">
      <c r="A861" s="335">
        <v>40458</v>
      </c>
      <c r="B861">
        <v>30.523541999999999</v>
      </c>
      <c r="C861" s="334">
        <f t="shared" si="13"/>
        <v>0</v>
      </c>
    </row>
    <row r="862" spans="1:3" x14ac:dyDescent="0.3">
      <c r="A862" s="335">
        <v>40459</v>
      </c>
      <c r="B862">
        <v>32.284519000000003</v>
      </c>
      <c r="C862" s="334">
        <f t="shared" si="13"/>
        <v>5.7692419837776496E-2</v>
      </c>
    </row>
    <row r="863" spans="1:3" x14ac:dyDescent="0.3">
      <c r="A863" s="335">
        <v>40462</v>
      </c>
      <c r="B863">
        <v>31.110534999999999</v>
      </c>
      <c r="C863" s="334">
        <f t="shared" si="13"/>
        <v>-3.6363682543946348E-2</v>
      </c>
    </row>
    <row r="864" spans="1:3" x14ac:dyDescent="0.3">
      <c r="A864" s="335">
        <v>40463</v>
      </c>
      <c r="B864">
        <v>0</v>
      </c>
      <c r="C864" s="334">
        <f t="shared" si="13"/>
        <v>-1</v>
      </c>
    </row>
    <row r="865" spans="1:3" x14ac:dyDescent="0.3">
      <c r="A865" s="335">
        <v>40464</v>
      </c>
      <c r="B865">
        <v>32.578010999999996</v>
      </c>
      <c r="C865" s="334" t="e">
        <f t="shared" si="13"/>
        <v>#DIV/0!</v>
      </c>
    </row>
    <row r="866" spans="1:3" x14ac:dyDescent="0.3">
      <c r="A866" s="335">
        <v>40465</v>
      </c>
      <c r="B866">
        <v>32.578010999999996</v>
      </c>
      <c r="C866" s="334">
        <f t="shared" si="13"/>
        <v>0</v>
      </c>
    </row>
    <row r="867" spans="1:3" x14ac:dyDescent="0.3">
      <c r="A867" s="335">
        <v>40466</v>
      </c>
      <c r="B867">
        <v>33.458495999999997</v>
      </c>
      <c r="C867" s="334">
        <f t="shared" si="13"/>
        <v>2.7026972272800823E-2</v>
      </c>
    </row>
    <row r="868" spans="1:3" x14ac:dyDescent="0.3">
      <c r="A868" s="335">
        <v>40469</v>
      </c>
      <c r="B868">
        <v>31.844270999999999</v>
      </c>
      <c r="C868" s="334">
        <f t="shared" si="13"/>
        <v>-4.8245593585557398E-2</v>
      </c>
    </row>
    <row r="869" spans="1:3" x14ac:dyDescent="0.3">
      <c r="A869" s="335">
        <v>40470</v>
      </c>
      <c r="B869">
        <v>32.578010999999996</v>
      </c>
      <c r="C869" s="334">
        <f t="shared" si="13"/>
        <v>2.3041507214908372E-2</v>
      </c>
    </row>
    <row r="870" spans="1:3" x14ac:dyDescent="0.3">
      <c r="A870" s="335">
        <v>40471</v>
      </c>
      <c r="B870">
        <v>32.284519000000003</v>
      </c>
      <c r="C870" s="334">
        <f t="shared" si="13"/>
        <v>-9.0088986709468983E-3</v>
      </c>
    </row>
    <row r="871" spans="1:3" x14ac:dyDescent="0.3">
      <c r="A871" s="335">
        <v>40472</v>
      </c>
      <c r="B871">
        <v>32.578010999999996</v>
      </c>
      <c r="C871" s="334">
        <f t="shared" si="13"/>
        <v>9.0907967375940587E-3</v>
      </c>
    </row>
    <row r="872" spans="1:3" x14ac:dyDescent="0.3">
      <c r="A872" s="335">
        <v>40473</v>
      </c>
      <c r="B872">
        <v>32.578010999999996</v>
      </c>
      <c r="C872" s="334">
        <f t="shared" si="13"/>
        <v>0</v>
      </c>
    </row>
    <row r="873" spans="1:3" x14ac:dyDescent="0.3">
      <c r="A873" s="335">
        <v>40476</v>
      </c>
      <c r="B873">
        <v>32.871510000000001</v>
      </c>
      <c r="C873" s="334">
        <f t="shared" si="13"/>
        <v>9.0091135398046307E-3</v>
      </c>
    </row>
    <row r="874" spans="1:3" x14ac:dyDescent="0.3">
      <c r="A874" s="335">
        <v>40477</v>
      </c>
      <c r="B874">
        <v>33.751995000000001</v>
      </c>
      <c r="C874" s="334">
        <f t="shared" si="13"/>
        <v>2.6785657245438379E-2</v>
      </c>
    </row>
    <row r="875" spans="1:3" x14ac:dyDescent="0.3">
      <c r="A875" s="335">
        <v>40478</v>
      </c>
      <c r="B875">
        <v>33.751995000000001</v>
      </c>
      <c r="C875" s="334">
        <f t="shared" si="13"/>
        <v>0</v>
      </c>
    </row>
    <row r="876" spans="1:3" x14ac:dyDescent="0.3">
      <c r="A876" s="335">
        <v>40479</v>
      </c>
      <c r="B876">
        <v>33.458495999999997</v>
      </c>
      <c r="C876" s="334">
        <f t="shared" si="13"/>
        <v>-8.6957526510656382E-3</v>
      </c>
    </row>
    <row r="877" spans="1:3" x14ac:dyDescent="0.3">
      <c r="A877" s="335">
        <v>40480</v>
      </c>
      <c r="B877">
        <v>34.045493999999998</v>
      </c>
      <c r="C877" s="334">
        <f t="shared" si="13"/>
        <v>1.7544064144425418E-2</v>
      </c>
    </row>
    <row r="878" spans="1:3" x14ac:dyDescent="0.3">
      <c r="A878" s="335">
        <v>40483</v>
      </c>
      <c r="B878">
        <v>34.045493999999998</v>
      </c>
      <c r="C878" s="334">
        <f t="shared" si="13"/>
        <v>0</v>
      </c>
    </row>
    <row r="879" spans="1:3" x14ac:dyDescent="0.3">
      <c r="A879" s="335">
        <v>40484</v>
      </c>
      <c r="B879">
        <v>34.192238000000003</v>
      </c>
      <c r="C879" s="334">
        <f t="shared" si="13"/>
        <v>4.3102326551644494E-3</v>
      </c>
    </row>
    <row r="880" spans="1:3" x14ac:dyDescent="0.3">
      <c r="A880" s="335">
        <v>40485</v>
      </c>
      <c r="B880">
        <v>32.137768000000001</v>
      </c>
      <c r="C880" s="334">
        <f t="shared" si="13"/>
        <v>-6.0085859252617564E-2</v>
      </c>
    </row>
    <row r="881" spans="1:3" x14ac:dyDescent="0.3">
      <c r="A881" s="335">
        <v>40486</v>
      </c>
      <c r="B881">
        <v>33.751995000000001</v>
      </c>
      <c r="C881" s="334">
        <f t="shared" si="13"/>
        <v>5.0228348154109509E-2</v>
      </c>
    </row>
    <row r="882" spans="1:3" x14ac:dyDescent="0.3">
      <c r="A882" s="335">
        <v>40487</v>
      </c>
      <c r="B882">
        <v>34.045493999999998</v>
      </c>
      <c r="C882" s="334">
        <f t="shared" si="13"/>
        <v>8.6957526510654283E-3</v>
      </c>
    </row>
    <row r="883" spans="1:3" x14ac:dyDescent="0.3">
      <c r="A883" s="335">
        <v>40490</v>
      </c>
      <c r="B883">
        <v>33.751995000000001</v>
      </c>
      <c r="C883" s="334">
        <f t="shared" si="13"/>
        <v>-8.6207884074173541E-3</v>
      </c>
    </row>
    <row r="884" spans="1:3" x14ac:dyDescent="0.3">
      <c r="A884" s="335">
        <v>40491</v>
      </c>
      <c r="B884">
        <v>33.311751999999998</v>
      </c>
      <c r="C884" s="334">
        <f t="shared" si="13"/>
        <v>-1.3043466023267732E-2</v>
      </c>
    </row>
    <row r="885" spans="1:3" x14ac:dyDescent="0.3">
      <c r="A885" s="335">
        <v>40492</v>
      </c>
      <c r="B885">
        <v>32.871510000000001</v>
      </c>
      <c r="C885" s="334">
        <f t="shared" si="13"/>
        <v>-1.3215816448201159E-2</v>
      </c>
    </row>
    <row r="886" spans="1:3" x14ac:dyDescent="0.3">
      <c r="A886" s="335">
        <v>40493</v>
      </c>
      <c r="B886">
        <v>33.605251000000003</v>
      </c>
      <c r="C886" s="334">
        <f t="shared" si="13"/>
        <v>2.2321487513047071E-2</v>
      </c>
    </row>
    <row r="887" spans="1:3" x14ac:dyDescent="0.3">
      <c r="A887" s="335">
        <v>40494</v>
      </c>
      <c r="B887">
        <v>33.458495999999997</v>
      </c>
      <c r="C887" s="334">
        <f t="shared" si="13"/>
        <v>-4.3670258555725695E-3</v>
      </c>
    </row>
    <row r="888" spans="1:3" x14ac:dyDescent="0.3">
      <c r="A888" s="335">
        <v>40497</v>
      </c>
      <c r="B888">
        <v>32.871510000000001</v>
      </c>
      <c r="C888" s="334">
        <f t="shared" si="13"/>
        <v>-1.7543705491125366E-2</v>
      </c>
    </row>
    <row r="889" spans="1:3" x14ac:dyDescent="0.3">
      <c r="A889" s="335">
        <v>40498</v>
      </c>
      <c r="B889">
        <v>32.284519000000003</v>
      </c>
      <c r="C889" s="334">
        <f t="shared" si="13"/>
        <v>-1.7857135251772661E-2</v>
      </c>
    </row>
    <row r="890" spans="1:3" x14ac:dyDescent="0.3">
      <c r="A890" s="335">
        <v>40499</v>
      </c>
      <c r="B890">
        <v>32.284519000000003</v>
      </c>
      <c r="C890" s="334">
        <f t="shared" si="13"/>
        <v>0</v>
      </c>
    </row>
    <row r="891" spans="1:3" x14ac:dyDescent="0.3">
      <c r="A891" s="335">
        <v>40500</v>
      </c>
      <c r="B891">
        <v>32.284519000000003</v>
      </c>
      <c r="C891" s="334">
        <f t="shared" si="13"/>
        <v>0</v>
      </c>
    </row>
    <row r="892" spans="1:3" x14ac:dyDescent="0.3">
      <c r="A892" s="335">
        <v>40501</v>
      </c>
      <c r="B892">
        <v>32.871510000000001</v>
      </c>
      <c r="C892" s="334">
        <f t="shared" si="13"/>
        <v>1.8181810297374961E-2</v>
      </c>
    </row>
    <row r="893" spans="1:3" x14ac:dyDescent="0.3">
      <c r="A893" s="335">
        <v>40504</v>
      </c>
      <c r="B893">
        <v>33.458495999999997</v>
      </c>
      <c r="C893" s="334">
        <f t="shared" si="13"/>
        <v>1.7856983144370186E-2</v>
      </c>
    </row>
    <row r="894" spans="1:3" x14ac:dyDescent="0.3">
      <c r="A894" s="335">
        <v>40505</v>
      </c>
      <c r="B894">
        <v>32.871510000000001</v>
      </c>
      <c r="C894" s="334">
        <f t="shared" si="13"/>
        <v>-1.7543705491125366E-2</v>
      </c>
    </row>
    <row r="895" spans="1:3" x14ac:dyDescent="0.3">
      <c r="A895" s="335">
        <v>40506</v>
      </c>
      <c r="B895">
        <v>33.458495999999997</v>
      </c>
      <c r="C895" s="334">
        <f t="shared" si="13"/>
        <v>1.7856983144370186E-2</v>
      </c>
    </row>
    <row r="896" spans="1:3" x14ac:dyDescent="0.3">
      <c r="A896" s="335">
        <v>40507</v>
      </c>
      <c r="B896">
        <v>32.871510000000001</v>
      </c>
      <c r="C896" s="334">
        <f t="shared" si="13"/>
        <v>-1.7543705491125366E-2</v>
      </c>
    </row>
    <row r="897" spans="1:3" x14ac:dyDescent="0.3">
      <c r="A897" s="335">
        <v>40508</v>
      </c>
      <c r="B897">
        <v>32.871510000000001</v>
      </c>
      <c r="C897" s="334">
        <f t="shared" si="13"/>
        <v>0</v>
      </c>
    </row>
    <row r="898" spans="1:3" x14ac:dyDescent="0.3">
      <c r="A898" s="335">
        <v>40511</v>
      </c>
      <c r="B898">
        <v>32.578010999999996</v>
      </c>
      <c r="C898" s="334">
        <f t="shared" si="13"/>
        <v>-8.9286741010681948E-3</v>
      </c>
    </row>
    <row r="899" spans="1:3" x14ac:dyDescent="0.3">
      <c r="A899" s="335">
        <v>40512</v>
      </c>
      <c r="B899">
        <v>31.697520999999998</v>
      </c>
      <c r="C899" s="334">
        <f t="shared" si="13"/>
        <v>-2.702712575055605E-2</v>
      </c>
    </row>
    <row r="900" spans="1:3" x14ac:dyDescent="0.3">
      <c r="A900" s="335">
        <v>40513</v>
      </c>
      <c r="B900">
        <v>31.991019999999999</v>
      </c>
      <c r="C900" s="334">
        <f t="shared" si="13"/>
        <v>9.2593676331975822E-3</v>
      </c>
    </row>
    <row r="901" spans="1:3" x14ac:dyDescent="0.3">
      <c r="A901" s="335">
        <v>40514</v>
      </c>
      <c r="B901">
        <v>32.871510000000001</v>
      </c>
      <c r="C901" s="334">
        <f t="shared" si="13"/>
        <v>2.7523036152020217E-2</v>
      </c>
    </row>
    <row r="902" spans="1:3" x14ac:dyDescent="0.3">
      <c r="A902" s="335">
        <v>40515</v>
      </c>
      <c r="B902">
        <v>34.045493999999998</v>
      </c>
      <c r="C902" s="334">
        <f t="shared" ref="C902:C965" si="14">(B902-B901)/B901</f>
        <v>3.571433134650636E-2</v>
      </c>
    </row>
    <row r="903" spans="1:3" x14ac:dyDescent="0.3">
      <c r="A903" s="335">
        <v>40518</v>
      </c>
      <c r="B903">
        <v>33.458495999999997</v>
      </c>
      <c r="C903" s="334">
        <f t="shared" si="14"/>
        <v>-1.7241576814834916E-2</v>
      </c>
    </row>
    <row r="904" spans="1:3" x14ac:dyDescent="0.3">
      <c r="A904" s="335">
        <v>40519</v>
      </c>
      <c r="B904">
        <v>32.724761999999998</v>
      </c>
      <c r="C904" s="334">
        <f t="shared" si="14"/>
        <v>-2.1929676695569292E-2</v>
      </c>
    </row>
    <row r="905" spans="1:3" x14ac:dyDescent="0.3">
      <c r="A905" s="335">
        <v>40520</v>
      </c>
      <c r="B905">
        <v>33.458495999999997</v>
      </c>
      <c r="C905" s="334">
        <f t="shared" si="14"/>
        <v>2.2421370092775568E-2</v>
      </c>
    </row>
    <row r="906" spans="1:3" x14ac:dyDescent="0.3">
      <c r="A906" s="335">
        <v>40521</v>
      </c>
      <c r="B906">
        <v>0</v>
      </c>
      <c r="C906" s="334">
        <f t="shared" si="14"/>
        <v>-1</v>
      </c>
    </row>
    <row r="907" spans="1:3" x14ac:dyDescent="0.3">
      <c r="A907" s="335">
        <v>40522</v>
      </c>
      <c r="B907">
        <v>32.431266999999998</v>
      </c>
      <c r="C907" s="334" t="e">
        <f t="shared" si="14"/>
        <v>#DIV/0!</v>
      </c>
    </row>
    <row r="908" spans="1:3" x14ac:dyDescent="0.3">
      <c r="A908" s="335">
        <v>40525</v>
      </c>
      <c r="B908">
        <v>33.458495999999997</v>
      </c>
      <c r="C908" s="334">
        <f t="shared" si="14"/>
        <v>3.167403234662397E-2</v>
      </c>
    </row>
    <row r="909" spans="1:3" x14ac:dyDescent="0.3">
      <c r="A909" s="335">
        <v>40526</v>
      </c>
      <c r="B909">
        <v>34.485737</v>
      </c>
      <c r="C909" s="334">
        <f t="shared" si="14"/>
        <v>3.0701947869982073E-2</v>
      </c>
    </row>
    <row r="910" spans="1:3" x14ac:dyDescent="0.3">
      <c r="A910" s="335">
        <v>40527</v>
      </c>
      <c r="B910">
        <v>34.925980000000003</v>
      </c>
      <c r="C910" s="334">
        <f t="shared" si="14"/>
        <v>1.2765944367087251E-2</v>
      </c>
    </row>
    <row r="911" spans="1:3" x14ac:dyDescent="0.3">
      <c r="A911" s="335">
        <v>40528</v>
      </c>
      <c r="B911">
        <v>34.779232</v>
      </c>
      <c r="C911" s="334">
        <f t="shared" si="14"/>
        <v>-4.201685965576408E-3</v>
      </c>
    </row>
    <row r="912" spans="1:3" x14ac:dyDescent="0.3">
      <c r="A912" s="335">
        <v>40529</v>
      </c>
      <c r="B912">
        <v>34.485737</v>
      </c>
      <c r="C912" s="334">
        <f t="shared" si="14"/>
        <v>-8.4388004887514488E-3</v>
      </c>
    </row>
    <row r="913" spans="1:3" x14ac:dyDescent="0.3">
      <c r="A913" s="335">
        <v>40532</v>
      </c>
      <c r="B913">
        <v>34.338985000000001</v>
      </c>
      <c r="C913" s="334">
        <f t="shared" si="14"/>
        <v>-4.2554404448424381E-3</v>
      </c>
    </row>
    <row r="914" spans="1:3" x14ac:dyDescent="0.3">
      <c r="A914" s="335">
        <v>40533</v>
      </c>
      <c r="B914">
        <v>34.338985000000001</v>
      </c>
      <c r="C914" s="334">
        <f t="shared" si="14"/>
        <v>0</v>
      </c>
    </row>
    <row r="915" spans="1:3" x14ac:dyDescent="0.3">
      <c r="A915" s="335">
        <v>40534</v>
      </c>
      <c r="B915">
        <v>34.632480999999999</v>
      </c>
      <c r="C915" s="334">
        <f t="shared" si="14"/>
        <v>8.5470202453566263E-3</v>
      </c>
    </row>
    <row r="916" spans="1:3" x14ac:dyDescent="0.3">
      <c r="A916" s="335">
        <v>40535</v>
      </c>
      <c r="B916">
        <v>36.686951000000001</v>
      </c>
      <c r="C916" s="334">
        <f t="shared" si="14"/>
        <v>5.9322056655427086E-2</v>
      </c>
    </row>
    <row r="917" spans="1:3" x14ac:dyDescent="0.3">
      <c r="A917" s="335">
        <v>40539</v>
      </c>
      <c r="B917">
        <v>35.366219000000001</v>
      </c>
      <c r="C917" s="334">
        <f t="shared" si="14"/>
        <v>-3.6000048082491229E-2</v>
      </c>
    </row>
    <row r="918" spans="1:3" x14ac:dyDescent="0.3">
      <c r="A918" s="335">
        <v>40540</v>
      </c>
      <c r="B918">
        <v>35.953212999999998</v>
      </c>
      <c r="C918" s="334">
        <f t="shared" si="14"/>
        <v>1.6597589920483078E-2</v>
      </c>
    </row>
    <row r="919" spans="1:3" x14ac:dyDescent="0.3">
      <c r="A919" s="335">
        <v>40541</v>
      </c>
      <c r="B919">
        <v>36.099964</v>
      </c>
      <c r="C919" s="334">
        <f t="shared" si="14"/>
        <v>4.0817214305715003E-3</v>
      </c>
    </row>
    <row r="920" spans="1:3" x14ac:dyDescent="0.3">
      <c r="A920" s="335">
        <v>40542</v>
      </c>
      <c r="B920">
        <v>36.099964</v>
      </c>
      <c r="C920" s="334">
        <f t="shared" si="14"/>
        <v>0</v>
      </c>
    </row>
    <row r="921" spans="1:3" x14ac:dyDescent="0.3">
      <c r="A921" s="335">
        <v>40546</v>
      </c>
      <c r="B921">
        <v>36.099964</v>
      </c>
      <c r="C921" s="334">
        <f t="shared" si="14"/>
        <v>0</v>
      </c>
    </row>
    <row r="922" spans="1:3" x14ac:dyDescent="0.3">
      <c r="A922" s="335">
        <v>40547</v>
      </c>
      <c r="B922">
        <v>35.219470999999999</v>
      </c>
      <c r="C922" s="334">
        <f t="shared" si="14"/>
        <v>-2.439041213448305E-2</v>
      </c>
    </row>
    <row r="923" spans="1:3" x14ac:dyDescent="0.3">
      <c r="A923" s="335">
        <v>40548</v>
      </c>
      <c r="B923">
        <v>35.219470999999999</v>
      </c>
      <c r="C923" s="334">
        <f t="shared" si="14"/>
        <v>0</v>
      </c>
    </row>
    <row r="924" spans="1:3" x14ac:dyDescent="0.3">
      <c r="A924" s="335">
        <v>40549</v>
      </c>
      <c r="B924">
        <v>35.806469</v>
      </c>
      <c r="C924" s="334">
        <f t="shared" si="14"/>
        <v>1.6666860214907864E-2</v>
      </c>
    </row>
    <row r="925" spans="1:3" x14ac:dyDescent="0.3">
      <c r="A925" s="335">
        <v>40550</v>
      </c>
      <c r="B925">
        <v>35.806469</v>
      </c>
      <c r="C925" s="334">
        <f t="shared" si="14"/>
        <v>0</v>
      </c>
    </row>
    <row r="926" spans="1:3" x14ac:dyDescent="0.3">
      <c r="A926" s="335">
        <v>40553</v>
      </c>
      <c r="B926">
        <v>35.806469</v>
      </c>
      <c r="C926" s="334">
        <f t="shared" si="14"/>
        <v>0</v>
      </c>
    </row>
    <row r="927" spans="1:3" x14ac:dyDescent="0.3">
      <c r="A927" s="335">
        <v>40554</v>
      </c>
      <c r="B927">
        <v>35.806469</v>
      </c>
      <c r="C927" s="334">
        <f t="shared" si="14"/>
        <v>0</v>
      </c>
    </row>
    <row r="928" spans="1:3" x14ac:dyDescent="0.3">
      <c r="A928" s="335">
        <v>40555</v>
      </c>
      <c r="B928">
        <v>35.072727</v>
      </c>
      <c r="C928" s="334">
        <f t="shared" si="14"/>
        <v>-2.049188374313031E-2</v>
      </c>
    </row>
    <row r="929" spans="1:3" x14ac:dyDescent="0.3">
      <c r="A929" s="335">
        <v>40556</v>
      </c>
      <c r="B929">
        <v>35.806469</v>
      </c>
      <c r="C929" s="334">
        <f t="shared" si="14"/>
        <v>2.0920585958428595E-2</v>
      </c>
    </row>
    <row r="930" spans="1:3" x14ac:dyDescent="0.3">
      <c r="A930" s="335">
        <v>40557</v>
      </c>
      <c r="B930">
        <v>36.099964</v>
      </c>
      <c r="C930" s="334">
        <f t="shared" si="14"/>
        <v>8.1967032270062728E-3</v>
      </c>
    </row>
    <row r="931" spans="1:3" x14ac:dyDescent="0.3">
      <c r="A931" s="335">
        <v>40560</v>
      </c>
      <c r="B931">
        <v>35.806469</v>
      </c>
      <c r="C931" s="334">
        <f t="shared" si="14"/>
        <v>-8.1300635092046089E-3</v>
      </c>
    </row>
    <row r="932" spans="1:3" x14ac:dyDescent="0.3">
      <c r="A932" s="335">
        <v>40561</v>
      </c>
      <c r="B932">
        <v>35.806469</v>
      </c>
      <c r="C932" s="334">
        <f t="shared" si="14"/>
        <v>0</v>
      </c>
    </row>
    <row r="933" spans="1:3" x14ac:dyDescent="0.3">
      <c r="A933" s="335">
        <v>40562</v>
      </c>
      <c r="B933">
        <v>35.806469</v>
      </c>
      <c r="C933" s="334">
        <f t="shared" si="14"/>
        <v>0</v>
      </c>
    </row>
    <row r="934" spans="1:3" x14ac:dyDescent="0.3">
      <c r="A934" s="335">
        <v>40563</v>
      </c>
      <c r="B934">
        <v>35.659717999999998</v>
      </c>
      <c r="C934" s="334">
        <f t="shared" si="14"/>
        <v>-4.0984493612034704E-3</v>
      </c>
    </row>
    <row r="935" spans="1:3" x14ac:dyDescent="0.3">
      <c r="A935" s="335">
        <v>40564</v>
      </c>
      <c r="B935">
        <v>35.659717999999998</v>
      </c>
      <c r="C935" s="334">
        <f t="shared" si="14"/>
        <v>0</v>
      </c>
    </row>
    <row r="936" spans="1:3" x14ac:dyDescent="0.3">
      <c r="A936" s="335">
        <v>40567</v>
      </c>
      <c r="B936">
        <v>35.806469</v>
      </c>
      <c r="C936" s="334">
        <f t="shared" si="14"/>
        <v>4.1153157745106635E-3</v>
      </c>
    </row>
    <row r="937" spans="1:3" x14ac:dyDescent="0.3">
      <c r="A937" s="335">
        <v>40568</v>
      </c>
      <c r="B937">
        <v>35.219470999999999</v>
      </c>
      <c r="C937" s="334">
        <f t="shared" si="14"/>
        <v>-1.6393629877327509E-2</v>
      </c>
    </row>
    <row r="938" spans="1:3" x14ac:dyDescent="0.3">
      <c r="A938" s="335">
        <v>40569</v>
      </c>
      <c r="B938">
        <v>35.512970000000003</v>
      </c>
      <c r="C938" s="334">
        <f t="shared" si="14"/>
        <v>8.3334301074540328E-3</v>
      </c>
    </row>
    <row r="939" spans="1:3" x14ac:dyDescent="0.3">
      <c r="A939" s="335">
        <v>40570</v>
      </c>
      <c r="B939">
        <v>35.512970000000003</v>
      </c>
      <c r="C939" s="334">
        <f t="shared" si="14"/>
        <v>0</v>
      </c>
    </row>
    <row r="940" spans="1:3" x14ac:dyDescent="0.3">
      <c r="A940" s="335">
        <v>40571</v>
      </c>
      <c r="B940">
        <v>36.246707999999998</v>
      </c>
      <c r="C940" s="334">
        <f t="shared" si="14"/>
        <v>2.0661127469766546E-2</v>
      </c>
    </row>
    <row r="941" spans="1:3" x14ac:dyDescent="0.3">
      <c r="A941" s="335">
        <v>40574</v>
      </c>
      <c r="B941">
        <v>37.860931000000001</v>
      </c>
      <c r="C941" s="334">
        <f t="shared" si="14"/>
        <v>4.4534333986965179E-2</v>
      </c>
    </row>
    <row r="942" spans="1:3" x14ac:dyDescent="0.3">
      <c r="A942" s="335">
        <v>40575</v>
      </c>
      <c r="B942">
        <v>37.567439999999998</v>
      </c>
      <c r="C942" s="334">
        <f t="shared" si="14"/>
        <v>-7.7518167738665237E-3</v>
      </c>
    </row>
    <row r="943" spans="1:3" x14ac:dyDescent="0.3">
      <c r="A943" s="335">
        <v>40576</v>
      </c>
      <c r="B943">
        <v>37.567439999999998</v>
      </c>
      <c r="C943" s="334">
        <f t="shared" si="14"/>
        <v>0</v>
      </c>
    </row>
    <row r="944" spans="1:3" x14ac:dyDescent="0.3">
      <c r="A944" s="335">
        <v>40577</v>
      </c>
      <c r="B944">
        <v>37.567439999999998</v>
      </c>
      <c r="C944" s="334">
        <f t="shared" si="14"/>
        <v>0</v>
      </c>
    </row>
    <row r="945" spans="1:3" x14ac:dyDescent="0.3">
      <c r="A945" s="335">
        <v>40578</v>
      </c>
      <c r="B945">
        <v>37.567439999999998</v>
      </c>
      <c r="C945" s="334">
        <f t="shared" si="14"/>
        <v>0</v>
      </c>
    </row>
    <row r="946" spans="1:3" x14ac:dyDescent="0.3">
      <c r="A946" s="335">
        <v>40581</v>
      </c>
      <c r="B946">
        <v>37.567439999999998</v>
      </c>
      <c r="C946" s="334">
        <f t="shared" si="14"/>
        <v>0</v>
      </c>
    </row>
    <row r="947" spans="1:3" x14ac:dyDescent="0.3">
      <c r="A947" s="335">
        <v>40582</v>
      </c>
      <c r="B947">
        <v>37.567439999999998</v>
      </c>
      <c r="C947" s="334">
        <f t="shared" si="14"/>
        <v>0</v>
      </c>
    </row>
    <row r="948" spans="1:3" x14ac:dyDescent="0.3">
      <c r="A948" s="335">
        <v>40583</v>
      </c>
      <c r="B948">
        <v>37.127189999999999</v>
      </c>
      <c r="C948" s="334">
        <f t="shared" si="14"/>
        <v>-1.1718924685844949E-2</v>
      </c>
    </row>
    <row r="949" spans="1:3" x14ac:dyDescent="0.3">
      <c r="A949" s="335">
        <v>40584</v>
      </c>
      <c r="B949">
        <v>37.420692000000003</v>
      </c>
      <c r="C949" s="334">
        <f t="shared" si="14"/>
        <v>7.9053114442542982E-3</v>
      </c>
    </row>
    <row r="950" spans="1:3" x14ac:dyDescent="0.3">
      <c r="A950" s="335">
        <v>40585</v>
      </c>
      <c r="B950">
        <v>37.860931000000001</v>
      </c>
      <c r="C950" s="334">
        <f t="shared" si="14"/>
        <v>1.1764587357176566E-2</v>
      </c>
    </row>
    <row r="951" spans="1:3" x14ac:dyDescent="0.3">
      <c r="A951" s="335">
        <v>40588</v>
      </c>
      <c r="B951">
        <v>38.301174000000003</v>
      </c>
      <c r="C951" s="334">
        <f t="shared" si="14"/>
        <v>1.1627896841733827E-2</v>
      </c>
    </row>
    <row r="952" spans="1:3" x14ac:dyDescent="0.3">
      <c r="A952" s="335">
        <v>40589</v>
      </c>
      <c r="B952">
        <v>38.301174000000003</v>
      </c>
      <c r="C952" s="334">
        <f t="shared" si="14"/>
        <v>0</v>
      </c>
    </row>
    <row r="953" spans="1:3" x14ac:dyDescent="0.3">
      <c r="A953" s="335">
        <v>40590</v>
      </c>
      <c r="B953">
        <v>38.447921999999998</v>
      </c>
      <c r="C953" s="334">
        <f t="shared" si="14"/>
        <v>3.831423026354106E-3</v>
      </c>
    </row>
    <row r="954" spans="1:3" x14ac:dyDescent="0.3">
      <c r="A954" s="335">
        <v>40591</v>
      </c>
      <c r="B954">
        <v>37.273944999999998</v>
      </c>
      <c r="C954" s="334">
        <f t="shared" si="14"/>
        <v>-3.0534211965993915E-2</v>
      </c>
    </row>
    <row r="955" spans="1:3" x14ac:dyDescent="0.3">
      <c r="A955" s="335">
        <v>40592</v>
      </c>
      <c r="B955">
        <v>37.273944999999998</v>
      </c>
      <c r="C955" s="334">
        <f t="shared" si="14"/>
        <v>0</v>
      </c>
    </row>
    <row r="956" spans="1:3" x14ac:dyDescent="0.3">
      <c r="A956" s="335">
        <v>40595</v>
      </c>
      <c r="B956">
        <v>37.273944999999998</v>
      </c>
      <c r="C956" s="334">
        <f t="shared" si="14"/>
        <v>0</v>
      </c>
    </row>
    <row r="957" spans="1:3" x14ac:dyDescent="0.3">
      <c r="A957" s="335">
        <v>40596</v>
      </c>
      <c r="B957">
        <v>36.980446000000001</v>
      </c>
      <c r="C957" s="334">
        <f t="shared" si="14"/>
        <v>-7.8741061618242195E-3</v>
      </c>
    </row>
    <row r="958" spans="1:3" x14ac:dyDescent="0.3">
      <c r="A958" s="335">
        <v>40597</v>
      </c>
      <c r="B958">
        <v>37.714188</v>
      </c>
      <c r="C958" s="334">
        <f t="shared" si="14"/>
        <v>1.9841350750610186E-2</v>
      </c>
    </row>
    <row r="959" spans="1:3" x14ac:dyDescent="0.3">
      <c r="A959" s="335">
        <v>40598</v>
      </c>
      <c r="B959">
        <v>36.980446000000001</v>
      </c>
      <c r="C959" s="334">
        <f t="shared" si="14"/>
        <v>-1.9455330710023491E-2</v>
      </c>
    </row>
    <row r="960" spans="1:3" x14ac:dyDescent="0.3">
      <c r="A960" s="335">
        <v>40599</v>
      </c>
      <c r="B960">
        <v>37.273944999999998</v>
      </c>
      <c r="C960" s="334">
        <f t="shared" si="14"/>
        <v>7.9365997911435976E-3</v>
      </c>
    </row>
    <row r="961" spans="1:3" x14ac:dyDescent="0.3">
      <c r="A961" s="335">
        <v>40602</v>
      </c>
      <c r="B961">
        <v>38.154426999999998</v>
      </c>
      <c r="C961" s="334">
        <f t="shared" si="14"/>
        <v>2.3621916059596071E-2</v>
      </c>
    </row>
    <row r="962" spans="1:3" x14ac:dyDescent="0.3">
      <c r="A962" s="335">
        <v>40603</v>
      </c>
      <c r="B962">
        <v>37.714188</v>
      </c>
      <c r="C962" s="334">
        <f t="shared" si="14"/>
        <v>-1.1538346520051219E-2</v>
      </c>
    </row>
    <row r="963" spans="1:3" x14ac:dyDescent="0.3">
      <c r="A963" s="335">
        <v>40604</v>
      </c>
      <c r="B963">
        <v>37.860931000000001</v>
      </c>
      <c r="C963" s="334">
        <f t="shared" si="14"/>
        <v>3.8909229598155667E-3</v>
      </c>
    </row>
    <row r="964" spans="1:3" x14ac:dyDescent="0.3">
      <c r="A964" s="335">
        <v>40605</v>
      </c>
      <c r="B964">
        <v>38.301174000000003</v>
      </c>
      <c r="C964" s="334">
        <f t="shared" si="14"/>
        <v>1.1627896841733827E-2</v>
      </c>
    </row>
    <row r="965" spans="1:3" x14ac:dyDescent="0.3">
      <c r="A965" s="335">
        <v>40606</v>
      </c>
      <c r="B965">
        <v>38.741421000000003</v>
      </c>
      <c r="C965" s="334">
        <f t="shared" si="14"/>
        <v>1.1494347405643476E-2</v>
      </c>
    </row>
    <row r="966" spans="1:3" x14ac:dyDescent="0.3">
      <c r="A966" s="335">
        <v>40609</v>
      </c>
      <c r="B966">
        <v>38.741421000000003</v>
      </c>
      <c r="C966" s="334">
        <f t="shared" ref="C966:C1029" si="15">(B966-B965)/B965</f>
        <v>0</v>
      </c>
    </row>
    <row r="967" spans="1:3" x14ac:dyDescent="0.3">
      <c r="A967" s="335">
        <v>40610</v>
      </c>
      <c r="B967">
        <v>38.594676999999997</v>
      </c>
      <c r="C967" s="334">
        <f t="shared" si="15"/>
        <v>-3.7877805256550942E-3</v>
      </c>
    </row>
    <row r="968" spans="1:3" x14ac:dyDescent="0.3">
      <c r="A968" s="335">
        <v>40611</v>
      </c>
      <c r="B968">
        <v>38.154426999999998</v>
      </c>
      <c r="C968" s="334">
        <f t="shared" si="15"/>
        <v>-1.1407013459394905E-2</v>
      </c>
    </row>
    <row r="969" spans="1:3" x14ac:dyDescent="0.3">
      <c r="A969" s="335">
        <v>40612</v>
      </c>
      <c r="B969">
        <v>38.154426999999998</v>
      </c>
      <c r="C969" s="334">
        <f t="shared" si="15"/>
        <v>0</v>
      </c>
    </row>
    <row r="970" spans="1:3" x14ac:dyDescent="0.3">
      <c r="A970" s="335">
        <v>40613</v>
      </c>
      <c r="B970">
        <v>35.806469</v>
      </c>
      <c r="C970" s="334">
        <f t="shared" si="15"/>
        <v>-6.153828492824695E-2</v>
      </c>
    </row>
    <row r="971" spans="1:3" x14ac:dyDescent="0.3">
      <c r="A971" s="335">
        <v>40616</v>
      </c>
      <c r="B971">
        <v>38.154426999999998</v>
      </c>
      <c r="C971" s="334">
        <f t="shared" si="15"/>
        <v>6.5573569960221387E-2</v>
      </c>
    </row>
    <row r="972" spans="1:3" x14ac:dyDescent="0.3">
      <c r="A972" s="335">
        <v>40617</v>
      </c>
      <c r="B972">
        <v>36.393456</v>
      </c>
      <c r="C972" s="334">
        <f t="shared" si="15"/>
        <v>-4.6153779219381227E-2</v>
      </c>
    </row>
    <row r="973" spans="1:3" x14ac:dyDescent="0.3">
      <c r="A973" s="335">
        <v>40618</v>
      </c>
      <c r="B973">
        <v>36.980446000000001</v>
      </c>
      <c r="C973" s="334">
        <f t="shared" si="15"/>
        <v>1.6128998576007733E-2</v>
      </c>
    </row>
    <row r="974" spans="1:3" x14ac:dyDescent="0.3">
      <c r="A974" s="335">
        <v>40619</v>
      </c>
      <c r="B974">
        <v>36.980446000000001</v>
      </c>
      <c r="C974" s="334">
        <f t="shared" si="15"/>
        <v>0</v>
      </c>
    </row>
    <row r="975" spans="1:3" x14ac:dyDescent="0.3">
      <c r="A975" s="335">
        <v>40620</v>
      </c>
      <c r="B975">
        <v>37.567439999999998</v>
      </c>
      <c r="C975" s="334">
        <f t="shared" si="15"/>
        <v>1.5873091417015282E-2</v>
      </c>
    </row>
    <row r="976" spans="1:3" x14ac:dyDescent="0.3">
      <c r="A976" s="335">
        <v>40623</v>
      </c>
      <c r="B976">
        <v>38.741421000000003</v>
      </c>
      <c r="C976" s="334">
        <f t="shared" si="15"/>
        <v>3.1249960071806995E-2</v>
      </c>
    </row>
    <row r="977" spans="1:3" x14ac:dyDescent="0.3">
      <c r="A977" s="335">
        <v>40624</v>
      </c>
      <c r="B977">
        <v>38.154426999999998</v>
      </c>
      <c r="C977" s="334">
        <f t="shared" si="15"/>
        <v>-1.5151586721612617E-2</v>
      </c>
    </row>
    <row r="978" spans="1:3" x14ac:dyDescent="0.3">
      <c r="A978" s="335">
        <v>40625</v>
      </c>
      <c r="B978">
        <v>38.594676999999997</v>
      </c>
      <c r="C978" s="334">
        <f t="shared" si="15"/>
        <v>1.15386348221138E-2</v>
      </c>
    </row>
    <row r="979" spans="1:3" x14ac:dyDescent="0.3">
      <c r="A979" s="335">
        <v>40626</v>
      </c>
      <c r="B979">
        <v>38.594676999999997</v>
      </c>
      <c r="C979" s="334">
        <f t="shared" si="15"/>
        <v>0</v>
      </c>
    </row>
    <row r="980" spans="1:3" x14ac:dyDescent="0.3">
      <c r="A980" s="335">
        <v>40627</v>
      </c>
      <c r="B980">
        <v>38.741421000000003</v>
      </c>
      <c r="C980" s="334">
        <f t="shared" si="15"/>
        <v>3.8021823579455095E-3</v>
      </c>
    </row>
    <row r="981" spans="1:3" x14ac:dyDescent="0.3">
      <c r="A981" s="335">
        <v>40630</v>
      </c>
      <c r="B981">
        <v>38.447921999999998</v>
      </c>
      <c r="C981" s="334">
        <f t="shared" si="15"/>
        <v>-7.5758449851388819E-3</v>
      </c>
    </row>
    <row r="982" spans="1:3" x14ac:dyDescent="0.3">
      <c r="A982" s="335">
        <v>40631</v>
      </c>
      <c r="B982">
        <v>38.594676999999997</v>
      </c>
      <c r="C982" s="334">
        <f t="shared" si="15"/>
        <v>3.8169813182621121E-3</v>
      </c>
    </row>
    <row r="983" spans="1:3" x14ac:dyDescent="0.3">
      <c r="A983" s="335">
        <v>40632</v>
      </c>
      <c r="B983">
        <v>38.594676999999997</v>
      </c>
      <c r="C983" s="334">
        <f t="shared" si="15"/>
        <v>0</v>
      </c>
    </row>
    <row r="984" spans="1:3" x14ac:dyDescent="0.3">
      <c r="A984" s="335">
        <v>40633</v>
      </c>
      <c r="B984">
        <v>38.741421000000003</v>
      </c>
      <c r="C984" s="334">
        <f t="shared" si="15"/>
        <v>3.8021823579455095E-3</v>
      </c>
    </row>
    <row r="985" spans="1:3" x14ac:dyDescent="0.3">
      <c r="A985" s="335">
        <v>40634</v>
      </c>
      <c r="B985">
        <v>38.447921999999998</v>
      </c>
      <c r="C985" s="334">
        <f t="shared" si="15"/>
        <v>-7.5758449851388819E-3</v>
      </c>
    </row>
    <row r="986" spans="1:3" x14ac:dyDescent="0.3">
      <c r="A986" s="335">
        <v>40637</v>
      </c>
      <c r="B986">
        <v>39.03492</v>
      </c>
      <c r="C986" s="334">
        <f t="shared" si="15"/>
        <v>1.5267353070472866E-2</v>
      </c>
    </row>
    <row r="987" spans="1:3" x14ac:dyDescent="0.3">
      <c r="A987" s="335">
        <v>40638</v>
      </c>
      <c r="B987">
        <v>39.328406999999999</v>
      </c>
      <c r="C987" s="334">
        <f t="shared" si="15"/>
        <v>7.5185756753183806E-3</v>
      </c>
    </row>
    <row r="988" spans="1:3" x14ac:dyDescent="0.3">
      <c r="A988" s="335">
        <v>40639</v>
      </c>
      <c r="B988">
        <v>38.888171999999997</v>
      </c>
      <c r="C988" s="334">
        <f t="shared" si="15"/>
        <v>-1.1193817232414251E-2</v>
      </c>
    </row>
    <row r="989" spans="1:3" x14ac:dyDescent="0.3">
      <c r="A989" s="335">
        <v>40640</v>
      </c>
      <c r="B989">
        <v>39.328406999999999</v>
      </c>
      <c r="C989" s="334">
        <f t="shared" si="15"/>
        <v>1.1320537257446847E-2</v>
      </c>
    </row>
    <row r="990" spans="1:3" x14ac:dyDescent="0.3">
      <c r="A990" s="335">
        <v>40641</v>
      </c>
      <c r="B990">
        <v>39.328406999999999</v>
      </c>
      <c r="C990" s="334">
        <f t="shared" si="15"/>
        <v>0</v>
      </c>
    </row>
    <row r="991" spans="1:3" x14ac:dyDescent="0.3">
      <c r="A991" s="335">
        <v>40644</v>
      </c>
      <c r="B991">
        <v>39.915401000000003</v>
      </c>
      <c r="C991" s="334">
        <f t="shared" si="15"/>
        <v>1.4925445620007041E-2</v>
      </c>
    </row>
    <row r="992" spans="1:3" x14ac:dyDescent="0.3">
      <c r="A992" s="335">
        <v>40645</v>
      </c>
      <c r="B992">
        <v>38.888171999999997</v>
      </c>
      <c r="C992" s="334">
        <f t="shared" si="15"/>
        <v>-2.5735154207770717E-2</v>
      </c>
    </row>
    <row r="993" spans="1:3" x14ac:dyDescent="0.3">
      <c r="A993" s="335">
        <v>40646</v>
      </c>
      <c r="B993">
        <v>39.03492</v>
      </c>
      <c r="C993" s="334">
        <f t="shared" si="15"/>
        <v>3.7735895634282406E-3</v>
      </c>
    </row>
    <row r="994" spans="1:3" x14ac:dyDescent="0.3">
      <c r="A994" s="335">
        <v>40647</v>
      </c>
      <c r="B994">
        <v>39.03492</v>
      </c>
      <c r="C994" s="334">
        <f t="shared" si="15"/>
        <v>0</v>
      </c>
    </row>
    <row r="995" spans="1:3" x14ac:dyDescent="0.3">
      <c r="A995" s="335">
        <v>40648</v>
      </c>
      <c r="B995">
        <v>39.621901999999999</v>
      </c>
      <c r="C995" s="334">
        <f t="shared" si="15"/>
        <v>1.5037356295337586E-2</v>
      </c>
    </row>
    <row r="996" spans="1:3" x14ac:dyDescent="0.3">
      <c r="A996" s="335">
        <v>40651</v>
      </c>
      <c r="B996">
        <v>39.328406999999999</v>
      </c>
      <c r="C996" s="334">
        <f t="shared" si="15"/>
        <v>-7.4073930120770095E-3</v>
      </c>
    </row>
    <row r="997" spans="1:3" x14ac:dyDescent="0.3">
      <c r="A997" s="335">
        <v>40652</v>
      </c>
      <c r="B997">
        <v>39.328406999999999</v>
      </c>
      <c r="C997" s="334">
        <f t="shared" si="15"/>
        <v>0</v>
      </c>
    </row>
    <row r="998" spans="1:3" x14ac:dyDescent="0.3">
      <c r="A998" s="335">
        <v>40653</v>
      </c>
      <c r="B998">
        <v>39.328406999999999</v>
      </c>
      <c r="C998" s="334">
        <f t="shared" si="15"/>
        <v>0</v>
      </c>
    </row>
    <row r="999" spans="1:3" x14ac:dyDescent="0.3">
      <c r="A999" s="335">
        <v>40659</v>
      </c>
      <c r="B999">
        <v>39.915401000000003</v>
      </c>
      <c r="C999" s="334">
        <f t="shared" si="15"/>
        <v>1.4925445620007041E-2</v>
      </c>
    </row>
    <row r="1000" spans="1:3" x14ac:dyDescent="0.3">
      <c r="A1000" s="335">
        <v>40660</v>
      </c>
      <c r="B1000">
        <v>39.328406999999999</v>
      </c>
      <c r="C1000" s="334">
        <f t="shared" si="15"/>
        <v>-1.4705952722359077E-2</v>
      </c>
    </row>
    <row r="1001" spans="1:3" x14ac:dyDescent="0.3">
      <c r="A1001" s="335">
        <v>40661</v>
      </c>
      <c r="B1001">
        <v>39.328406999999999</v>
      </c>
      <c r="C1001" s="334">
        <f t="shared" si="15"/>
        <v>0</v>
      </c>
    </row>
    <row r="1002" spans="1:3" x14ac:dyDescent="0.3">
      <c r="A1002" s="335">
        <v>40662</v>
      </c>
      <c r="B1002">
        <v>39.915401000000003</v>
      </c>
      <c r="C1002" s="334">
        <f t="shared" si="15"/>
        <v>1.4925445620007041E-2</v>
      </c>
    </row>
    <row r="1003" spans="1:3" x14ac:dyDescent="0.3">
      <c r="A1003" s="335">
        <v>40665</v>
      </c>
      <c r="B1003">
        <v>39.328406999999999</v>
      </c>
      <c r="C1003" s="334">
        <f t="shared" si="15"/>
        <v>-1.4705952722359077E-2</v>
      </c>
    </row>
    <row r="1004" spans="1:3" x14ac:dyDescent="0.3">
      <c r="A1004" s="335">
        <v>40666</v>
      </c>
      <c r="B1004">
        <v>39.03492</v>
      </c>
      <c r="C1004" s="334">
        <f t="shared" si="15"/>
        <v>-7.4624685408691722E-3</v>
      </c>
    </row>
    <row r="1005" spans="1:3" x14ac:dyDescent="0.3">
      <c r="A1005" s="335">
        <v>40667</v>
      </c>
      <c r="B1005">
        <v>38.594676999999997</v>
      </c>
      <c r="C1005" s="334">
        <f t="shared" si="15"/>
        <v>-1.1278183739072667E-2</v>
      </c>
    </row>
    <row r="1006" spans="1:3" x14ac:dyDescent="0.3">
      <c r="A1006" s="335">
        <v>40668</v>
      </c>
      <c r="B1006">
        <v>38.741421000000003</v>
      </c>
      <c r="C1006" s="334">
        <f t="shared" si="15"/>
        <v>3.8021823579455095E-3</v>
      </c>
    </row>
    <row r="1007" spans="1:3" x14ac:dyDescent="0.3">
      <c r="A1007" s="335">
        <v>40669</v>
      </c>
      <c r="B1007">
        <v>38.594676999999997</v>
      </c>
      <c r="C1007" s="334">
        <f t="shared" si="15"/>
        <v>-3.7877805256550942E-3</v>
      </c>
    </row>
    <row r="1008" spans="1:3" x14ac:dyDescent="0.3">
      <c r="A1008" s="335">
        <v>40672</v>
      </c>
      <c r="B1008">
        <v>37.714188</v>
      </c>
      <c r="C1008" s="334">
        <f t="shared" si="15"/>
        <v>-2.2813741905392738E-2</v>
      </c>
    </row>
    <row r="1009" spans="1:3" x14ac:dyDescent="0.3">
      <c r="A1009" s="335">
        <v>40673</v>
      </c>
      <c r="B1009">
        <v>38.594676999999997</v>
      </c>
      <c r="C1009" s="334">
        <f t="shared" si="15"/>
        <v>2.3346359730719832E-2</v>
      </c>
    </row>
    <row r="1010" spans="1:3" x14ac:dyDescent="0.3">
      <c r="A1010" s="335">
        <v>40674</v>
      </c>
      <c r="B1010">
        <v>39.328406999999999</v>
      </c>
      <c r="C1010" s="334">
        <f t="shared" si="15"/>
        <v>1.9011170892815125E-2</v>
      </c>
    </row>
    <row r="1011" spans="1:3" x14ac:dyDescent="0.3">
      <c r="A1011" s="335">
        <v>40675</v>
      </c>
      <c r="B1011">
        <v>38.007679000000003</v>
      </c>
      <c r="C1011" s="334">
        <f t="shared" si="15"/>
        <v>-3.3582036516251357E-2</v>
      </c>
    </row>
    <row r="1012" spans="1:3" x14ac:dyDescent="0.3">
      <c r="A1012" s="335">
        <v>40676</v>
      </c>
      <c r="B1012">
        <v>39.03492</v>
      </c>
      <c r="C1012" s="334">
        <f t="shared" si="15"/>
        <v>2.702719626736472E-2</v>
      </c>
    </row>
    <row r="1013" spans="1:3" x14ac:dyDescent="0.3">
      <c r="A1013" s="335">
        <v>40679</v>
      </c>
      <c r="B1013">
        <v>38.447921999999998</v>
      </c>
      <c r="C1013" s="334">
        <f t="shared" si="15"/>
        <v>-1.5037766184739235E-2</v>
      </c>
    </row>
    <row r="1014" spans="1:3" x14ac:dyDescent="0.3">
      <c r="A1014" s="335">
        <v>40681</v>
      </c>
      <c r="B1014">
        <v>38.888171999999997</v>
      </c>
      <c r="C1014" s="334">
        <f t="shared" si="15"/>
        <v>1.1450553816666579E-2</v>
      </c>
    </row>
    <row r="1015" spans="1:3" x14ac:dyDescent="0.3">
      <c r="A1015" s="335">
        <v>40682</v>
      </c>
      <c r="B1015">
        <v>38.154426999999998</v>
      </c>
      <c r="C1015" s="334">
        <f t="shared" si="15"/>
        <v>-1.8868076390939615E-2</v>
      </c>
    </row>
    <row r="1016" spans="1:3" x14ac:dyDescent="0.3">
      <c r="A1016" s="335">
        <v>40683</v>
      </c>
      <c r="B1016">
        <v>36.980446000000001</v>
      </c>
      <c r="C1016" s="334">
        <f t="shared" si="15"/>
        <v>-3.0769194882680265E-2</v>
      </c>
    </row>
    <row r="1017" spans="1:3" x14ac:dyDescent="0.3">
      <c r="A1017" s="335">
        <v>40686</v>
      </c>
      <c r="B1017">
        <v>35.806469</v>
      </c>
      <c r="C1017" s="334">
        <f t="shared" si="15"/>
        <v>-3.1745885379532761E-2</v>
      </c>
    </row>
    <row r="1018" spans="1:3" x14ac:dyDescent="0.3">
      <c r="A1018" s="335">
        <v>40687</v>
      </c>
      <c r="B1018">
        <v>37.567439999999998</v>
      </c>
      <c r="C1018" s="334">
        <f t="shared" si="15"/>
        <v>4.9180247289951934E-2</v>
      </c>
    </row>
    <row r="1019" spans="1:3" x14ac:dyDescent="0.3">
      <c r="A1019" s="335">
        <v>40688</v>
      </c>
      <c r="B1019">
        <v>36.686951000000001</v>
      </c>
      <c r="C1019" s="334">
        <f t="shared" si="15"/>
        <v>-2.3437556564940204E-2</v>
      </c>
    </row>
    <row r="1020" spans="1:3" x14ac:dyDescent="0.3">
      <c r="A1020" s="335">
        <v>40689</v>
      </c>
      <c r="B1020">
        <v>37.567439999999998</v>
      </c>
      <c r="C1020" s="334">
        <f t="shared" si="15"/>
        <v>2.4000059312642177E-2</v>
      </c>
    </row>
    <row r="1021" spans="1:3" x14ac:dyDescent="0.3">
      <c r="A1021" s="335">
        <v>40690</v>
      </c>
      <c r="B1021">
        <v>37.127189999999999</v>
      </c>
      <c r="C1021" s="334">
        <f t="shared" si="15"/>
        <v>-1.1718924685844949E-2</v>
      </c>
    </row>
    <row r="1022" spans="1:3" x14ac:dyDescent="0.3">
      <c r="A1022" s="335">
        <v>40693</v>
      </c>
      <c r="B1022">
        <v>37.714188</v>
      </c>
      <c r="C1022" s="334">
        <f t="shared" si="15"/>
        <v>1.5810461281879972E-2</v>
      </c>
    </row>
    <row r="1023" spans="1:3" x14ac:dyDescent="0.3">
      <c r="A1023" s="335">
        <v>40694</v>
      </c>
      <c r="B1023">
        <v>37.567439999999998</v>
      </c>
      <c r="C1023" s="334">
        <f t="shared" si="15"/>
        <v>-3.8910555359166774E-3</v>
      </c>
    </row>
    <row r="1024" spans="1:3" x14ac:dyDescent="0.3">
      <c r="A1024" s="335">
        <v>40695</v>
      </c>
      <c r="B1024">
        <v>37.567439999999998</v>
      </c>
      <c r="C1024" s="334">
        <f t="shared" si="15"/>
        <v>0</v>
      </c>
    </row>
    <row r="1025" spans="1:3" x14ac:dyDescent="0.3">
      <c r="A1025" s="335">
        <v>40697</v>
      </c>
      <c r="B1025">
        <v>38.193565</v>
      </c>
      <c r="C1025" s="334">
        <f t="shared" si="15"/>
        <v>1.666669328546214E-2</v>
      </c>
    </row>
    <row r="1026" spans="1:3" x14ac:dyDescent="0.3">
      <c r="A1026" s="335">
        <v>40700</v>
      </c>
      <c r="B1026">
        <v>37.567439999999998</v>
      </c>
      <c r="C1026" s="334">
        <f t="shared" si="15"/>
        <v>-1.6393468376151896E-2</v>
      </c>
    </row>
    <row r="1027" spans="1:3" x14ac:dyDescent="0.3">
      <c r="A1027" s="335">
        <v>40701</v>
      </c>
      <c r="B1027">
        <v>37.567439999999998</v>
      </c>
      <c r="C1027" s="334">
        <f t="shared" si="15"/>
        <v>0</v>
      </c>
    </row>
    <row r="1028" spans="1:3" x14ac:dyDescent="0.3">
      <c r="A1028" s="335">
        <v>40702</v>
      </c>
      <c r="B1028">
        <v>35.376002999999997</v>
      </c>
      <c r="C1028" s="334">
        <f t="shared" si="15"/>
        <v>-5.8333413189719623E-2</v>
      </c>
    </row>
    <row r="1029" spans="1:3" x14ac:dyDescent="0.3">
      <c r="A1029" s="335">
        <v>40703</v>
      </c>
      <c r="B1029">
        <v>35.689064000000002</v>
      </c>
      <c r="C1029" s="334">
        <f t="shared" si="15"/>
        <v>8.849530004845509E-3</v>
      </c>
    </row>
    <row r="1030" spans="1:3" x14ac:dyDescent="0.3">
      <c r="A1030" s="335">
        <v>40704</v>
      </c>
      <c r="B1030">
        <v>34.749881999999999</v>
      </c>
      <c r="C1030" s="334">
        <f t="shared" ref="C1030:C1093" si="16">(B1030-B1029)/B1029</f>
        <v>-2.6315680343984429E-2</v>
      </c>
    </row>
    <row r="1031" spans="1:3" x14ac:dyDescent="0.3">
      <c r="A1031" s="335">
        <v>40708</v>
      </c>
      <c r="B1031">
        <v>36.941315000000003</v>
      </c>
      <c r="C1031" s="334">
        <f t="shared" si="16"/>
        <v>6.306303428598703E-2</v>
      </c>
    </row>
    <row r="1032" spans="1:3" x14ac:dyDescent="0.3">
      <c r="A1032" s="335">
        <v>40709</v>
      </c>
      <c r="B1032">
        <v>34.436821000000002</v>
      </c>
      <c r="C1032" s="334">
        <f t="shared" si="16"/>
        <v>-6.7796557864818863E-2</v>
      </c>
    </row>
    <row r="1033" spans="1:3" x14ac:dyDescent="0.3">
      <c r="A1033" s="335">
        <v>40710</v>
      </c>
      <c r="B1033">
        <v>33.184570000000001</v>
      </c>
      <c r="C1033" s="334">
        <f t="shared" si="16"/>
        <v>-3.6363722423739434E-2</v>
      </c>
    </row>
    <row r="1034" spans="1:3" x14ac:dyDescent="0.3">
      <c r="A1034" s="335">
        <v>40711</v>
      </c>
      <c r="B1034">
        <v>33.810696</v>
      </c>
      <c r="C1034" s="334">
        <f t="shared" si="16"/>
        <v>1.8867985934426731E-2</v>
      </c>
    </row>
    <row r="1035" spans="1:3" x14ac:dyDescent="0.3">
      <c r="A1035" s="335">
        <v>40714</v>
      </c>
      <c r="B1035">
        <v>33.810696</v>
      </c>
      <c r="C1035" s="334">
        <f t="shared" si="16"/>
        <v>0</v>
      </c>
    </row>
    <row r="1036" spans="1:3" x14ac:dyDescent="0.3">
      <c r="A1036" s="335">
        <v>40715</v>
      </c>
      <c r="B1036">
        <v>35.219475000000003</v>
      </c>
      <c r="C1036" s="334">
        <f t="shared" si="16"/>
        <v>4.1666666666666748E-2</v>
      </c>
    </row>
    <row r="1037" spans="1:3" x14ac:dyDescent="0.3">
      <c r="A1037" s="335">
        <v>40716</v>
      </c>
      <c r="B1037">
        <v>35.219475000000003</v>
      </c>
      <c r="C1037" s="334">
        <f t="shared" si="16"/>
        <v>0</v>
      </c>
    </row>
    <row r="1038" spans="1:3" x14ac:dyDescent="0.3">
      <c r="A1038" s="335">
        <v>40717</v>
      </c>
      <c r="B1038">
        <v>34.436821000000002</v>
      </c>
      <c r="C1038" s="334">
        <f t="shared" si="16"/>
        <v>-2.2222193828840459E-2</v>
      </c>
    </row>
    <row r="1039" spans="1:3" x14ac:dyDescent="0.3">
      <c r="A1039" s="335">
        <v>40718</v>
      </c>
      <c r="B1039">
        <v>34.123756</v>
      </c>
      <c r="C1039" s="334">
        <f t="shared" si="16"/>
        <v>-9.0909959429763178E-3</v>
      </c>
    </row>
    <row r="1040" spans="1:3" x14ac:dyDescent="0.3">
      <c r="A1040" s="335">
        <v>40721</v>
      </c>
      <c r="B1040">
        <v>32.401916999999997</v>
      </c>
      <c r="C1040" s="334">
        <f t="shared" si="16"/>
        <v>-5.0458659943530333E-2</v>
      </c>
    </row>
    <row r="1041" spans="1:3" x14ac:dyDescent="0.3">
      <c r="A1041" s="335">
        <v>40722</v>
      </c>
      <c r="B1041">
        <v>31.775794999999999</v>
      </c>
      <c r="C1041" s="334">
        <f t="shared" si="16"/>
        <v>-1.9323609772841491E-2</v>
      </c>
    </row>
    <row r="1042" spans="1:3" x14ac:dyDescent="0.3">
      <c r="A1042" s="335">
        <v>40723</v>
      </c>
      <c r="B1042">
        <v>32.714981000000002</v>
      </c>
      <c r="C1042" s="334">
        <f t="shared" si="16"/>
        <v>2.9556648385980683E-2</v>
      </c>
    </row>
    <row r="1043" spans="1:3" x14ac:dyDescent="0.3">
      <c r="A1043" s="335">
        <v>40724</v>
      </c>
      <c r="B1043">
        <v>33.184570000000001</v>
      </c>
      <c r="C1043" s="334">
        <f t="shared" si="16"/>
        <v>1.4353943839979583E-2</v>
      </c>
    </row>
    <row r="1044" spans="1:3" x14ac:dyDescent="0.3">
      <c r="A1044" s="335">
        <v>40725</v>
      </c>
      <c r="B1044">
        <v>33.341106000000003</v>
      </c>
      <c r="C1044" s="334">
        <f t="shared" si="16"/>
        <v>4.7171320887991822E-3</v>
      </c>
    </row>
    <row r="1045" spans="1:3" x14ac:dyDescent="0.3">
      <c r="A1045" s="335">
        <v>40728</v>
      </c>
      <c r="B1045">
        <v>34.436821000000002</v>
      </c>
      <c r="C1045" s="334">
        <f t="shared" si="16"/>
        <v>3.2863786822188754E-2</v>
      </c>
    </row>
    <row r="1046" spans="1:3" x14ac:dyDescent="0.3">
      <c r="A1046" s="335">
        <v>40729</v>
      </c>
      <c r="B1046">
        <v>33.497630999999998</v>
      </c>
      <c r="C1046" s="334">
        <f t="shared" si="16"/>
        <v>-2.7272842635503534E-2</v>
      </c>
    </row>
    <row r="1047" spans="1:3" x14ac:dyDescent="0.3">
      <c r="A1047" s="335">
        <v>40730</v>
      </c>
      <c r="B1047">
        <v>32.871510000000001</v>
      </c>
      <c r="C1047" s="334">
        <f t="shared" si="16"/>
        <v>-1.8691500900466597E-2</v>
      </c>
    </row>
    <row r="1048" spans="1:3" x14ac:dyDescent="0.3">
      <c r="A1048" s="335">
        <v>40731</v>
      </c>
      <c r="B1048">
        <v>32.871510000000001</v>
      </c>
      <c r="C1048" s="334">
        <f t="shared" si="16"/>
        <v>0</v>
      </c>
    </row>
    <row r="1049" spans="1:3" x14ac:dyDescent="0.3">
      <c r="A1049" s="335">
        <v>40732</v>
      </c>
      <c r="B1049">
        <v>31.619261000000002</v>
      </c>
      <c r="C1049" s="334">
        <f t="shared" si="16"/>
        <v>-3.8095268516718551E-2</v>
      </c>
    </row>
    <row r="1050" spans="1:3" x14ac:dyDescent="0.3">
      <c r="A1050" s="335">
        <v>40735</v>
      </c>
      <c r="B1050">
        <v>31.462727000000001</v>
      </c>
      <c r="C1050" s="334">
        <f t="shared" si="16"/>
        <v>-4.9505900849485572E-3</v>
      </c>
    </row>
    <row r="1051" spans="1:3" x14ac:dyDescent="0.3">
      <c r="A1051" s="335">
        <v>40736</v>
      </c>
      <c r="B1051">
        <v>30.993127999999999</v>
      </c>
      <c r="C1051" s="334">
        <f t="shared" si="16"/>
        <v>-1.4925565733701414E-2</v>
      </c>
    </row>
    <row r="1052" spans="1:3" x14ac:dyDescent="0.3">
      <c r="A1052" s="335">
        <v>40737</v>
      </c>
      <c r="B1052">
        <v>30.680077000000001</v>
      </c>
      <c r="C1052" s="334">
        <f t="shared" si="16"/>
        <v>-1.0100658442736015E-2</v>
      </c>
    </row>
    <row r="1053" spans="1:3" x14ac:dyDescent="0.3">
      <c r="A1053" s="335">
        <v>40738</v>
      </c>
      <c r="B1053">
        <v>28.864308999999999</v>
      </c>
      <c r="C1053" s="334">
        <f t="shared" si="16"/>
        <v>-5.9183945333644433E-2</v>
      </c>
    </row>
    <row r="1054" spans="1:3" x14ac:dyDescent="0.3">
      <c r="A1054" s="335">
        <v>40739</v>
      </c>
      <c r="B1054">
        <v>27.236393</v>
      </c>
      <c r="C1054" s="334">
        <f t="shared" si="16"/>
        <v>-5.6398925053081958E-2</v>
      </c>
    </row>
    <row r="1055" spans="1:3" x14ac:dyDescent="0.3">
      <c r="A1055" s="335">
        <v>40742</v>
      </c>
      <c r="B1055">
        <v>27.549458000000001</v>
      </c>
      <c r="C1055" s="334">
        <f t="shared" si="16"/>
        <v>1.1494363442325189E-2</v>
      </c>
    </row>
    <row r="1056" spans="1:3" x14ac:dyDescent="0.3">
      <c r="A1056" s="335">
        <v>40743</v>
      </c>
      <c r="B1056">
        <v>27.549458000000001</v>
      </c>
      <c r="C1056" s="334">
        <f t="shared" si="16"/>
        <v>0</v>
      </c>
    </row>
    <row r="1057" spans="1:3" x14ac:dyDescent="0.3">
      <c r="A1057" s="335">
        <v>40744</v>
      </c>
      <c r="B1057">
        <v>27.612062000000002</v>
      </c>
      <c r="C1057" s="334">
        <f t="shared" si="16"/>
        <v>2.2724222015547573E-3</v>
      </c>
    </row>
    <row r="1058" spans="1:3" x14ac:dyDescent="0.3">
      <c r="A1058" s="335">
        <v>40745</v>
      </c>
      <c r="B1058">
        <v>29.991337000000001</v>
      </c>
      <c r="C1058" s="334">
        <f t="shared" si="16"/>
        <v>8.6167958046740573E-2</v>
      </c>
    </row>
    <row r="1059" spans="1:3" x14ac:dyDescent="0.3">
      <c r="A1059" s="335">
        <v>40746</v>
      </c>
      <c r="B1059">
        <v>29.427821999999999</v>
      </c>
      <c r="C1059" s="334">
        <f t="shared" si="16"/>
        <v>-1.8789259045036984E-2</v>
      </c>
    </row>
    <row r="1060" spans="1:3" x14ac:dyDescent="0.3">
      <c r="A1060" s="335">
        <v>40749</v>
      </c>
      <c r="B1060">
        <v>29.740891000000001</v>
      </c>
      <c r="C1060" s="334">
        <f t="shared" si="16"/>
        <v>1.0638537911504367E-2</v>
      </c>
    </row>
    <row r="1061" spans="1:3" x14ac:dyDescent="0.3">
      <c r="A1061" s="335">
        <v>40750</v>
      </c>
      <c r="B1061">
        <v>30.680077000000001</v>
      </c>
      <c r="C1061" s="334">
        <f t="shared" si="16"/>
        <v>3.1578946306618699E-2</v>
      </c>
    </row>
    <row r="1062" spans="1:3" x14ac:dyDescent="0.3">
      <c r="A1062" s="335">
        <v>40751</v>
      </c>
      <c r="B1062">
        <v>30.617462</v>
      </c>
      <c r="C1062" s="334">
        <f t="shared" si="16"/>
        <v>-2.0409010055613933E-3</v>
      </c>
    </row>
    <row r="1063" spans="1:3" x14ac:dyDescent="0.3">
      <c r="A1063" s="335">
        <v>40752</v>
      </c>
      <c r="B1063">
        <v>30.554848</v>
      </c>
      <c r="C1063" s="334">
        <f t="shared" si="16"/>
        <v>-2.0450421396783296E-3</v>
      </c>
    </row>
    <row r="1064" spans="1:3" x14ac:dyDescent="0.3">
      <c r="A1064" s="335">
        <v>40753</v>
      </c>
      <c r="B1064">
        <v>30.617462</v>
      </c>
      <c r="C1064" s="334">
        <f t="shared" si="16"/>
        <v>2.0492329073278307E-3</v>
      </c>
    </row>
    <row r="1065" spans="1:3" x14ac:dyDescent="0.3">
      <c r="A1065" s="335">
        <v>40756</v>
      </c>
      <c r="B1065">
        <v>29.991337000000001</v>
      </c>
      <c r="C1065" s="334">
        <f t="shared" si="16"/>
        <v>-2.044993148027744E-2</v>
      </c>
    </row>
    <row r="1066" spans="1:3" x14ac:dyDescent="0.3">
      <c r="A1066" s="335">
        <v>40757</v>
      </c>
      <c r="B1066">
        <v>29.553052999999998</v>
      </c>
      <c r="C1066" s="334">
        <f t="shared" si="16"/>
        <v>-1.4613686612237494E-2</v>
      </c>
    </row>
    <row r="1067" spans="1:3" x14ac:dyDescent="0.3">
      <c r="A1067" s="335">
        <v>40758</v>
      </c>
      <c r="B1067">
        <v>27.549458000000001</v>
      </c>
      <c r="C1067" s="334">
        <f t="shared" si="16"/>
        <v>-6.7796548803265674E-2</v>
      </c>
    </row>
    <row r="1068" spans="1:3" x14ac:dyDescent="0.3">
      <c r="A1068" s="335">
        <v>40759</v>
      </c>
      <c r="B1068">
        <v>27.549458000000001</v>
      </c>
      <c r="C1068" s="334">
        <f t="shared" si="16"/>
        <v>0</v>
      </c>
    </row>
    <row r="1069" spans="1:3" x14ac:dyDescent="0.3">
      <c r="A1069" s="335">
        <v>40760</v>
      </c>
      <c r="B1069">
        <v>25.671082999999999</v>
      </c>
      <c r="C1069" s="334">
        <f t="shared" si="16"/>
        <v>-6.8181922127106886E-2</v>
      </c>
    </row>
    <row r="1070" spans="1:3" x14ac:dyDescent="0.3">
      <c r="A1070" s="335">
        <v>40763</v>
      </c>
      <c r="B1070">
        <v>24.105774</v>
      </c>
      <c r="C1070" s="334">
        <f t="shared" si="16"/>
        <v>-6.0975573177025649E-2</v>
      </c>
    </row>
    <row r="1071" spans="1:3" x14ac:dyDescent="0.3">
      <c r="A1071" s="335">
        <v>40764</v>
      </c>
      <c r="B1071">
        <v>23.166588000000001</v>
      </c>
      <c r="C1071" s="334">
        <f t="shared" si="16"/>
        <v>-3.8961038961038939E-2</v>
      </c>
    </row>
    <row r="1072" spans="1:3" x14ac:dyDescent="0.3">
      <c r="A1072" s="335">
        <v>40765</v>
      </c>
      <c r="B1072">
        <v>24.919734999999999</v>
      </c>
      <c r="C1072" s="334">
        <f t="shared" si="16"/>
        <v>7.5675667042552769E-2</v>
      </c>
    </row>
    <row r="1073" spans="1:3" x14ac:dyDescent="0.3">
      <c r="A1073" s="335">
        <v>40766</v>
      </c>
      <c r="B1073">
        <v>24.794509999999999</v>
      </c>
      <c r="C1073" s="334">
        <f t="shared" si="16"/>
        <v>-5.0251336942387379E-3</v>
      </c>
    </row>
    <row r="1074" spans="1:3" x14ac:dyDescent="0.3">
      <c r="A1074" s="335">
        <v>40767</v>
      </c>
      <c r="B1074">
        <v>26.171977999999999</v>
      </c>
      <c r="C1074" s="334">
        <f t="shared" si="16"/>
        <v>5.5555362860568745E-2</v>
      </c>
    </row>
    <row r="1075" spans="1:3" x14ac:dyDescent="0.3">
      <c r="A1075" s="335">
        <v>40770</v>
      </c>
      <c r="B1075">
        <v>26.798105</v>
      </c>
      <c r="C1075" s="334">
        <f t="shared" si="16"/>
        <v>2.3923564355739575E-2</v>
      </c>
    </row>
    <row r="1076" spans="1:3" x14ac:dyDescent="0.3">
      <c r="A1076" s="335">
        <v>40771</v>
      </c>
      <c r="B1076">
        <v>26.297207</v>
      </c>
      <c r="C1076" s="334">
        <f t="shared" si="16"/>
        <v>-1.8691545540253665E-2</v>
      </c>
    </row>
    <row r="1077" spans="1:3" x14ac:dyDescent="0.3">
      <c r="A1077" s="335">
        <v>40772</v>
      </c>
      <c r="B1077">
        <v>26.297207</v>
      </c>
      <c r="C1077" s="334">
        <f t="shared" si="16"/>
        <v>0</v>
      </c>
    </row>
    <row r="1078" spans="1:3" x14ac:dyDescent="0.3">
      <c r="A1078" s="335">
        <v>40773</v>
      </c>
      <c r="B1078">
        <v>25.044958000000001</v>
      </c>
      <c r="C1078" s="334">
        <f t="shared" si="16"/>
        <v>-4.7619087456702118E-2</v>
      </c>
    </row>
    <row r="1079" spans="1:3" x14ac:dyDescent="0.3">
      <c r="A1079" s="335">
        <v>40774</v>
      </c>
      <c r="B1079">
        <v>25.044958000000001</v>
      </c>
      <c r="C1079" s="334">
        <f t="shared" si="16"/>
        <v>0</v>
      </c>
    </row>
    <row r="1080" spans="1:3" x14ac:dyDescent="0.3">
      <c r="A1080" s="335">
        <v>40777</v>
      </c>
      <c r="B1080">
        <v>23.604876000000001</v>
      </c>
      <c r="C1080" s="334">
        <f t="shared" si="16"/>
        <v>-5.7499876821514341E-2</v>
      </c>
    </row>
    <row r="1081" spans="1:3" x14ac:dyDescent="0.3">
      <c r="A1081" s="335">
        <v>40778</v>
      </c>
      <c r="B1081">
        <v>24.731897</v>
      </c>
      <c r="C1081" s="334">
        <f t="shared" si="16"/>
        <v>4.7745262461874369E-2</v>
      </c>
    </row>
    <row r="1082" spans="1:3" x14ac:dyDescent="0.3">
      <c r="A1082" s="335">
        <v>40779</v>
      </c>
      <c r="B1082">
        <v>24.418835000000001</v>
      </c>
      <c r="C1082" s="334">
        <f t="shared" si="16"/>
        <v>-1.2658228359919121E-2</v>
      </c>
    </row>
    <row r="1083" spans="1:3" x14ac:dyDescent="0.3">
      <c r="A1083" s="335">
        <v>40780</v>
      </c>
      <c r="B1083">
        <v>26.234594000000001</v>
      </c>
      <c r="C1083" s="334">
        <f t="shared" si="16"/>
        <v>7.4358952832925887E-2</v>
      </c>
    </row>
    <row r="1084" spans="1:3" x14ac:dyDescent="0.3">
      <c r="A1084" s="335">
        <v>40781</v>
      </c>
      <c r="B1084">
        <v>26.923328000000001</v>
      </c>
      <c r="C1084" s="334">
        <f t="shared" si="16"/>
        <v>2.6252893412415688E-2</v>
      </c>
    </row>
    <row r="1085" spans="1:3" x14ac:dyDescent="0.3">
      <c r="A1085" s="335">
        <v>40784</v>
      </c>
      <c r="B1085">
        <v>25.671082999999999</v>
      </c>
      <c r="C1085" s="334">
        <f t="shared" si="16"/>
        <v>-4.6511523389679094E-2</v>
      </c>
    </row>
    <row r="1086" spans="1:3" x14ac:dyDescent="0.3">
      <c r="A1086" s="335">
        <v>40785</v>
      </c>
      <c r="B1086">
        <v>25.044958000000001</v>
      </c>
      <c r="C1086" s="334">
        <f t="shared" si="16"/>
        <v>-2.4390283806881005E-2</v>
      </c>
    </row>
    <row r="1087" spans="1:3" x14ac:dyDescent="0.3">
      <c r="A1087" s="335">
        <v>40786</v>
      </c>
      <c r="B1087">
        <v>26.297207</v>
      </c>
      <c r="C1087" s="334">
        <f t="shared" si="16"/>
        <v>5.0000043921015917E-2</v>
      </c>
    </row>
    <row r="1088" spans="1:3" x14ac:dyDescent="0.3">
      <c r="A1088" s="335">
        <v>40787</v>
      </c>
      <c r="B1088">
        <v>25.044958000000001</v>
      </c>
      <c r="C1088" s="334">
        <f t="shared" si="16"/>
        <v>-4.7619087456702118E-2</v>
      </c>
    </row>
    <row r="1089" spans="1:3" x14ac:dyDescent="0.3">
      <c r="A1089" s="335">
        <v>40788</v>
      </c>
      <c r="B1089">
        <v>26.297207</v>
      </c>
      <c r="C1089" s="334">
        <f t="shared" si="16"/>
        <v>5.0000043921015917E-2</v>
      </c>
    </row>
    <row r="1090" spans="1:3" x14ac:dyDescent="0.3">
      <c r="A1090" s="335">
        <v>40791</v>
      </c>
      <c r="B1090">
        <v>26.297207</v>
      </c>
      <c r="C1090" s="334">
        <f t="shared" si="16"/>
        <v>0</v>
      </c>
    </row>
    <row r="1091" spans="1:3" x14ac:dyDescent="0.3">
      <c r="A1091" s="335">
        <v>40792</v>
      </c>
      <c r="B1091">
        <v>26.297207</v>
      </c>
      <c r="C1091" s="334">
        <f t="shared" si="16"/>
        <v>0</v>
      </c>
    </row>
    <row r="1092" spans="1:3" x14ac:dyDescent="0.3">
      <c r="A1092" s="335">
        <v>40793</v>
      </c>
      <c r="B1092">
        <v>26.297207</v>
      </c>
      <c r="C1092" s="334">
        <f t="shared" si="16"/>
        <v>0</v>
      </c>
    </row>
    <row r="1093" spans="1:3" x14ac:dyDescent="0.3">
      <c r="A1093" s="335">
        <v>40794</v>
      </c>
      <c r="B1093">
        <v>26.297207</v>
      </c>
      <c r="C1093" s="334">
        <f t="shared" si="16"/>
        <v>0</v>
      </c>
    </row>
    <row r="1094" spans="1:3" x14ac:dyDescent="0.3">
      <c r="A1094" s="335">
        <v>40795</v>
      </c>
      <c r="B1094">
        <v>26.860720000000001</v>
      </c>
      <c r="C1094" s="334">
        <f t="shared" ref="C1094:C1157" si="17">(B1094-B1093)/B1093</f>
        <v>2.1428625481025431E-2</v>
      </c>
    </row>
    <row r="1095" spans="1:3" x14ac:dyDescent="0.3">
      <c r="A1095" s="335">
        <v>40798</v>
      </c>
      <c r="B1095">
        <v>24.043158999999999</v>
      </c>
      <c r="C1095" s="334">
        <f t="shared" si="17"/>
        <v>-0.10489521502029735</v>
      </c>
    </row>
    <row r="1096" spans="1:3" x14ac:dyDescent="0.3">
      <c r="A1096" s="335">
        <v>40799</v>
      </c>
      <c r="B1096">
        <v>23.855322000000001</v>
      </c>
      <c r="C1096" s="334">
        <f t="shared" si="17"/>
        <v>-7.8124925264603648E-3</v>
      </c>
    </row>
    <row r="1097" spans="1:3" x14ac:dyDescent="0.3">
      <c r="A1097" s="335">
        <v>40800</v>
      </c>
      <c r="B1097">
        <v>23.166588000000001</v>
      </c>
      <c r="C1097" s="334">
        <f t="shared" si="17"/>
        <v>-2.8871293374283531E-2</v>
      </c>
    </row>
    <row r="1098" spans="1:3" x14ac:dyDescent="0.3">
      <c r="A1098" s="335">
        <v>40801</v>
      </c>
      <c r="B1098">
        <v>24.982347000000001</v>
      </c>
      <c r="C1098" s="334">
        <f t="shared" si="17"/>
        <v>7.8378352479009844E-2</v>
      </c>
    </row>
    <row r="1099" spans="1:3" x14ac:dyDescent="0.3">
      <c r="A1099" s="335">
        <v>40802</v>
      </c>
      <c r="B1099">
        <v>26.171977999999999</v>
      </c>
      <c r="C1099" s="334">
        <f t="shared" si="17"/>
        <v>4.761886463269438E-2</v>
      </c>
    </row>
    <row r="1100" spans="1:3" x14ac:dyDescent="0.3">
      <c r="A1100" s="335">
        <v>40805</v>
      </c>
      <c r="B1100">
        <v>26.171977999999999</v>
      </c>
      <c r="C1100" s="334">
        <f t="shared" si="17"/>
        <v>0</v>
      </c>
    </row>
    <row r="1101" spans="1:3" x14ac:dyDescent="0.3">
      <c r="A1101" s="335">
        <v>40806</v>
      </c>
      <c r="B1101">
        <v>24.168385000000001</v>
      </c>
      <c r="C1101" s="334">
        <f t="shared" si="17"/>
        <v>-7.6554893940381535E-2</v>
      </c>
    </row>
    <row r="1102" spans="1:3" x14ac:dyDescent="0.3">
      <c r="A1102" s="335">
        <v>40807</v>
      </c>
      <c r="B1102">
        <v>24.043158999999999</v>
      </c>
      <c r="C1102" s="334">
        <f t="shared" si="17"/>
        <v>-5.1813971020405955E-3</v>
      </c>
    </row>
    <row r="1103" spans="1:3" x14ac:dyDescent="0.3">
      <c r="A1103" s="335">
        <v>40808</v>
      </c>
      <c r="B1103">
        <v>23.792711000000001</v>
      </c>
      <c r="C1103" s="334">
        <f t="shared" si="17"/>
        <v>-1.0416601246117397E-2</v>
      </c>
    </row>
    <row r="1104" spans="1:3" x14ac:dyDescent="0.3">
      <c r="A1104" s="335">
        <v>40809</v>
      </c>
      <c r="B1104">
        <v>23.792711000000001</v>
      </c>
      <c r="C1104" s="334">
        <f t="shared" si="17"/>
        <v>0</v>
      </c>
    </row>
    <row r="1105" spans="1:3" x14ac:dyDescent="0.3">
      <c r="A1105" s="335">
        <v>40812</v>
      </c>
      <c r="B1105">
        <v>21.601275999999999</v>
      </c>
      <c r="C1105" s="334">
        <f t="shared" si="17"/>
        <v>-9.2105309058728199E-2</v>
      </c>
    </row>
    <row r="1106" spans="1:3" x14ac:dyDescent="0.3">
      <c r="A1106" s="335">
        <v>40813</v>
      </c>
      <c r="B1106">
        <v>21.601275999999999</v>
      </c>
      <c r="C1106" s="334">
        <f t="shared" si="17"/>
        <v>0</v>
      </c>
    </row>
    <row r="1107" spans="1:3" x14ac:dyDescent="0.3">
      <c r="A1107" s="335">
        <v>40814</v>
      </c>
      <c r="B1107">
        <v>20.787317000000002</v>
      </c>
      <c r="C1107" s="334">
        <f t="shared" si="17"/>
        <v>-3.768106106324446E-2</v>
      </c>
    </row>
    <row r="1108" spans="1:3" x14ac:dyDescent="0.3">
      <c r="A1108" s="335">
        <v>40815</v>
      </c>
      <c r="B1108">
        <v>20.975155000000001</v>
      </c>
      <c r="C1108" s="334">
        <f t="shared" si="17"/>
        <v>9.0361829763792641E-3</v>
      </c>
    </row>
    <row r="1109" spans="1:3" x14ac:dyDescent="0.3">
      <c r="A1109" s="335">
        <v>40816</v>
      </c>
      <c r="B1109">
        <v>20.662089999999999</v>
      </c>
      <c r="C1109" s="334">
        <f t="shared" si="17"/>
        <v>-1.4925515449111184E-2</v>
      </c>
    </row>
    <row r="1110" spans="1:3" x14ac:dyDescent="0.3">
      <c r="A1110" s="335">
        <v>40819</v>
      </c>
      <c r="B1110">
        <v>19.096782999999999</v>
      </c>
      <c r="C1110" s="334">
        <f t="shared" si="17"/>
        <v>-7.575743789713435E-2</v>
      </c>
    </row>
    <row r="1111" spans="1:3" x14ac:dyDescent="0.3">
      <c r="A1111" s="335">
        <v>40820</v>
      </c>
      <c r="B1111">
        <v>17.531469000000001</v>
      </c>
      <c r="C1111" s="334">
        <f t="shared" si="17"/>
        <v>-8.1967418281916768E-2</v>
      </c>
    </row>
    <row r="1112" spans="1:3" x14ac:dyDescent="0.3">
      <c r="A1112" s="335">
        <v>40821</v>
      </c>
      <c r="B1112">
        <v>18.470656999999999</v>
      </c>
      <c r="C1112" s="334">
        <f t="shared" si="17"/>
        <v>5.3571551819188559E-2</v>
      </c>
    </row>
    <row r="1113" spans="1:3" x14ac:dyDescent="0.3">
      <c r="A1113" s="335">
        <v>40822</v>
      </c>
      <c r="B1113">
        <v>18.783719999999999</v>
      </c>
      <c r="C1113" s="334">
        <f t="shared" si="17"/>
        <v>1.6949207599924555E-2</v>
      </c>
    </row>
    <row r="1114" spans="1:3" x14ac:dyDescent="0.3">
      <c r="A1114" s="335">
        <v>40823</v>
      </c>
      <c r="B1114">
        <v>21.225605000000002</v>
      </c>
      <c r="C1114" s="334">
        <f t="shared" si="17"/>
        <v>0.13000007453262735</v>
      </c>
    </row>
    <row r="1115" spans="1:3" x14ac:dyDescent="0.3">
      <c r="A1115" s="335">
        <v>40826</v>
      </c>
      <c r="B1115">
        <v>20.035966999999999</v>
      </c>
      <c r="C1115" s="334">
        <f t="shared" si="17"/>
        <v>-5.6047307014334906E-2</v>
      </c>
    </row>
    <row r="1116" spans="1:3" x14ac:dyDescent="0.3">
      <c r="A1116" s="335">
        <v>40827</v>
      </c>
      <c r="B1116">
        <v>18.220206999999998</v>
      </c>
      <c r="C1116" s="334">
        <f t="shared" si="17"/>
        <v>-9.0625024487213462E-2</v>
      </c>
    </row>
    <row r="1117" spans="1:3" x14ac:dyDescent="0.3">
      <c r="A1117" s="335">
        <v>40828</v>
      </c>
      <c r="B1117">
        <v>18.157595000000001</v>
      </c>
      <c r="C1117" s="334">
        <f t="shared" si="17"/>
        <v>-3.43640442723828E-3</v>
      </c>
    </row>
    <row r="1118" spans="1:3" x14ac:dyDescent="0.3">
      <c r="A1118" s="335">
        <v>40829</v>
      </c>
      <c r="B1118">
        <v>18.470656999999999</v>
      </c>
      <c r="C1118" s="334">
        <f t="shared" si="17"/>
        <v>1.7241380259885662E-2</v>
      </c>
    </row>
    <row r="1119" spans="1:3" x14ac:dyDescent="0.3">
      <c r="A1119" s="335">
        <v>40830</v>
      </c>
      <c r="B1119">
        <v>19.409842999999999</v>
      </c>
      <c r="C1119" s="334">
        <f t="shared" si="17"/>
        <v>5.0847460379996198E-2</v>
      </c>
    </row>
    <row r="1120" spans="1:3" x14ac:dyDescent="0.3">
      <c r="A1120" s="335">
        <v>40833</v>
      </c>
      <c r="B1120">
        <v>19.409842999999999</v>
      </c>
      <c r="C1120" s="334">
        <f t="shared" si="17"/>
        <v>0</v>
      </c>
    </row>
    <row r="1121" spans="1:3" x14ac:dyDescent="0.3">
      <c r="A1121" s="335">
        <v>40834</v>
      </c>
      <c r="B1121">
        <v>19.409842999999999</v>
      </c>
      <c r="C1121" s="334">
        <f t="shared" si="17"/>
        <v>0</v>
      </c>
    </row>
    <row r="1122" spans="1:3" x14ac:dyDescent="0.3">
      <c r="A1122" s="335">
        <v>40835</v>
      </c>
      <c r="B1122">
        <v>19.973354</v>
      </c>
      <c r="C1122" s="334">
        <f t="shared" si="17"/>
        <v>2.9032228648114358E-2</v>
      </c>
    </row>
    <row r="1123" spans="1:3" x14ac:dyDescent="0.3">
      <c r="A1123" s="335">
        <v>40836</v>
      </c>
      <c r="B1123">
        <v>19.284617999999998</v>
      </c>
      <c r="C1123" s="334">
        <f t="shared" si="17"/>
        <v>-3.4482741356309118E-2</v>
      </c>
    </row>
    <row r="1124" spans="1:3" x14ac:dyDescent="0.3">
      <c r="A1124" s="335">
        <v>40837</v>
      </c>
      <c r="B1124">
        <v>18.783719999999999</v>
      </c>
      <c r="C1124" s="334">
        <f t="shared" si="17"/>
        <v>-2.5973965364520027E-2</v>
      </c>
    </row>
    <row r="1125" spans="1:3" x14ac:dyDescent="0.3">
      <c r="A1125" s="335">
        <v>40840</v>
      </c>
      <c r="B1125">
        <v>18.783719999999999</v>
      </c>
      <c r="C1125" s="334">
        <f t="shared" si="17"/>
        <v>0</v>
      </c>
    </row>
    <row r="1126" spans="1:3" x14ac:dyDescent="0.3">
      <c r="A1126" s="335">
        <v>40841</v>
      </c>
      <c r="B1126">
        <v>19.409842999999999</v>
      </c>
      <c r="C1126" s="334">
        <f t="shared" si="17"/>
        <v>3.3333280095742469E-2</v>
      </c>
    </row>
    <row r="1127" spans="1:3" x14ac:dyDescent="0.3">
      <c r="A1127" s="335">
        <v>40842</v>
      </c>
      <c r="B1127">
        <v>19.722904</v>
      </c>
      <c r="C1127" s="334">
        <f t="shared" si="17"/>
        <v>1.6128981568784517E-2</v>
      </c>
    </row>
    <row r="1128" spans="1:3" x14ac:dyDescent="0.3">
      <c r="A1128" s="335">
        <v>40843</v>
      </c>
      <c r="B1128">
        <v>19.722904</v>
      </c>
      <c r="C1128" s="334">
        <f t="shared" si="17"/>
        <v>0</v>
      </c>
    </row>
    <row r="1129" spans="1:3" x14ac:dyDescent="0.3">
      <c r="A1129" s="335">
        <v>40844</v>
      </c>
      <c r="B1129">
        <v>21.288214</v>
      </c>
      <c r="C1129" s="334">
        <f t="shared" si="17"/>
        <v>7.936508741309091E-2</v>
      </c>
    </row>
    <row r="1130" spans="1:3" x14ac:dyDescent="0.3">
      <c r="A1130" s="335">
        <v>40847</v>
      </c>
      <c r="B1130">
        <v>21.288214</v>
      </c>
      <c r="C1130" s="334">
        <f t="shared" si="17"/>
        <v>0</v>
      </c>
    </row>
    <row r="1131" spans="1:3" x14ac:dyDescent="0.3">
      <c r="A1131" s="335">
        <v>40848</v>
      </c>
      <c r="B1131">
        <v>20.662089999999999</v>
      </c>
      <c r="C1131" s="334">
        <f t="shared" si="17"/>
        <v>-2.9411767469079406E-2</v>
      </c>
    </row>
    <row r="1132" spans="1:3" x14ac:dyDescent="0.3">
      <c r="A1132" s="335">
        <v>40849</v>
      </c>
      <c r="B1132">
        <v>19.096782999999999</v>
      </c>
      <c r="C1132" s="334">
        <f t="shared" si="17"/>
        <v>-7.575743789713435E-2</v>
      </c>
    </row>
    <row r="1133" spans="1:3" x14ac:dyDescent="0.3">
      <c r="A1133" s="335">
        <v>40850</v>
      </c>
      <c r="B1133">
        <v>20.474253000000001</v>
      </c>
      <c r="C1133" s="334">
        <f t="shared" si="17"/>
        <v>7.2130997142293679E-2</v>
      </c>
    </row>
    <row r="1134" spans="1:3" x14ac:dyDescent="0.3">
      <c r="A1134" s="335">
        <v>40851</v>
      </c>
      <c r="B1134">
        <v>20.662089999999999</v>
      </c>
      <c r="C1134" s="334">
        <f t="shared" si="17"/>
        <v>9.1743029648016089E-3</v>
      </c>
    </row>
    <row r="1135" spans="1:3" x14ac:dyDescent="0.3">
      <c r="A1135" s="335">
        <v>40854</v>
      </c>
      <c r="B1135">
        <v>20.662089999999999</v>
      </c>
      <c r="C1135" s="334">
        <f t="shared" si="17"/>
        <v>0</v>
      </c>
    </row>
    <row r="1136" spans="1:3" x14ac:dyDescent="0.3">
      <c r="A1136" s="335">
        <v>40855</v>
      </c>
      <c r="B1136">
        <v>20.349028000000001</v>
      </c>
      <c r="C1136" s="334">
        <f t="shared" si="17"/>
        <v>-1.5151516618115526E-2</v>
      </c>
    </row>
    <row r="1137" spans="1:3" x14ac:dyDescent="0.3">
      <c r="A1137" s="335">
        <v>40856</v>
      </c>
      <c r="B1137">
        <v>18.783719999999999</v>
      </c>
      <c r="C1137" s="334">
        <f t="shared" si="17"/>
        <v>-7.6922986198652912E-2</v>
      </c>
    </row>
    <row r="1138" spans="1:3" x14ac:dyDescent="0.3">
      <c r="A1138" s="335">
        <v>40857</v>
      </c>
      <c r="B1138">
        <v>18.157595000000001</v>
      </c>
      <c r="C1138" s="334">
        <f t="shared" si="17"/>
        <v>-3.3333386570924092E-2</v>
      </c>
    </row>
    <row r="1139" spans="1:3" x14ac:dyDescent="0.3">
      <c r="A1139" s="335">
        <v>40858</v>
      </c>
      <c r="B1139">
        <v>17.844532000000001</v>
      </c>
      <c r="C1139" s="334">
        <f t="shared" si="17"/>
        <v>-1.7241435333258597E-2</v>
      </c>
    </row>
    <row r="1140" spans="1:3" x14ac:dyDescent="0.3">
      <c r="A1140" s="335">
        <v>40861</v>
      </c>
      <c r="B1140">
        <v>16.654900000000001</v>
      </c>
      <c r="C1140" s="334">
        <f t="shared" si="17"/>
        <v>-6.6666472396137905E-2</v>
      </c>
    </row>
    <row r="1141" spans="1:3" x14ac:dyDescent="0.3">
      <c r="A1141" s="335">
        <v>40862</v>
      </c>
      <c r="B1141">
        <v>16.279223999999999</v>
      </c>
      <c r="C1141" s="334">
        <f t="shared" si="17"/>
        <v>-2.2556484878324221E-2</v>
      </c>
    </row>
    <row r="1142" spans="1:3" x14ac:dyDescent="0.3">
      <c r="A1142" s="335">
        <v>40863</v>
      </c>
      <c r="B1142">
        <v>17.218409999999999</v>
      </c>
      <c r="C1142" s="334">
        <f t="shared" si="17"/>
        <v>5.7692307692307661E-2</v>
      </c>
    </row>
    <row r="1143" spans="1:3" x14ac:dyDescent="0.3">
      <c r="A1143" s="335">
        <v>40864</v>
      </c>
      <c r="B1143">
        <v>17.531469000000001</v>
      </c>
      <c r="C1143" s="334">
        <f t="shared" si="17"/>
        <v>1.8181643949702828E-2</v>
      </c>
    </row>
    <row r="1144" spans="1:3" x14ac:dyDescent="0.3">
      <c r="A1144" s="335">
        <v>40865</v>
      </c>
      <c r="B1144">
        <v>18.157595000000001</v>
      </c>
      <c r="C1144" s="334">
        <f t="shared" si="17"/>
        <v>3.5714405906316193E-2</v>
      </c>
    </row>
    <row r="1145" spans="1:3" x14ac:dyDescent="0.3">
      <c r="A1145" s="335">
        <v>40868</v>
      </c>
      <c r="B1145">
        <v>17.531469000000001</v>
      </c>
      <c r="C1145" s="334">
        <f t="shared" si="17"/>
        <v>-3.4482870666517194E-2</v>
      </c>
    </row>
    <row r="1146" spans="1:3" x14ac:dyDescent="0.3">
      <c r="A1146" s="335">
        <v>40869</v>
      </c>
      <c r="B1146">
        <v>17.594083999999999</v>
      </c>
      <c r="C1146" s="334">
        <f t="shared" si="17"/>
        <v>3.571577487317088E-3</v>
      </c>
    </row>
    <row r="1147" spans="1:3" x14ac:dyDescent="0.3">
      <c r="A1147" s="335">
        <v>40870</v>
      </c>
      <c r="B1147">
        <v>16.529671</v>
      </c>
      <c r="C1147" s="334">
        <f t="shared" si="17"/>
        <v>-6.0498347058022366E-2</v>
      </c>
    </row>
    <row r="1148" spans="1:3" x14ac:dyDescent="0.3">
      <c r="A1148" s="335">
        <v>40871</v>
      </c>
      <c r="B1148">
        <v>16.654900000000001</v>
      </c>
      <c r="C1148" s="334">
        <f t="shared" si="17"/>
        <v>7.5760128559123115E-3</v>
      </c>
    </row>
    <row r="1149" spans="1:3" x14ac:dyDescent="0.3">
      <c r="A1149" s="335">
        <v>40872</v>
      </c>
      <c r="B1149">
        <v>16.905348</v>
      </c>
      <c r="C1149" s="334">
        <f t="shared" si="17"/>
        <v>1.5037496472509512E-2</v>
      </c>
    </row>
    <row r="1150" spans="1:3" x14ac:dyDescent="0.3">
      <c r="A1150" s="335">
        <v>40875</v>
      </c>
      <c r="B1150">
        <v>17.531469000000001</v>
      </c>
      <c r="C1150" s="334">
        <f t="shared" si="17"/>
        <v>3.7036859578400944E-2</v>
      </c>
    </row>
    <row r="1151" spans="1:3" x14ac:dyDescent="0.3">
      <c r="A1151" s="335">
        <v>40876</v>
      </c>
      <c r="B1151">
        <v>18.157595000000001</v>
      </c>
      <c r="C1151" s="334">
        <f t="shared" si="17"/>
        <v>3.5714405906316193E-2</v>
      </c>
    </row>
    <row r="1152" spans="1:3" x14ac:dyDescent="0.3">
      <c r="A1152" s="335">
        <v>40877</v>
      </c>
      <c r="B1152">
        <v>21.288214</v>
      </c>
      <c r="C1152" s="334">
        <f t="shared" si="17"/>
        <v>0.17241374752548447</v>
      </c>
    </row>
    <row r="1153" spans="1:3" x14ac:dyDescent="0.3">
      <c r="A1153" s="335">
        <v>40878</v>
      </c>
      <c r="B1153">
        <v>20.035966999999999</v>
      </c>
      <c r="C1153" s="334">
        <f t="shared" si="17"/>
        <v>-5.8823487963809484E-2</v>
      </c>
    </row>
    <row r="1154" spans="1:3" x14ac:dyDescent="0.3">
      <c r="A1154" s="335">
        <v>40879</v>
      </c>
      <c r="B1154">
        <v>20.349028000000001</v>
      </c>
      <c r="C1154" s="334">
        <f t="shared" si="17"/>
        <v>1.5624950869603705E-2</v>
      </c>
    </row>
    <row r="1155" spans="1:3" x14ac:dyDescent="0.3">
      <c r="A1155" s="335">
        <v>40882</v>
      </c>
      <c r="B1155">
        <v>20.662089999999999</v>
      </c>
      <c r="C1155" s="334">
        <f t="shared" si="17"/>
        <v>1.5384616896689051E-2</v>
      </c>
    </row>
    <row r="1156" spans="1:3" x14ac:dyDescent="0.3">
      <c r="A1156" s="335">
        <v>40883</v>
      </c>
      <c r="B1156">
        <v>20.662089999999999</v>
      </c>
      <c r="C1156" s="334">
        <f t="shared" si="17"/>
        <v>0</v>
      </c>
    </row>
    <row r="1157" spans="1:3" x14ac:dyDescent="0.3">
      <c r="A1157" s="335">
        <v>40884</v>
      </c>
      <c r="B1157">
        <v>20.536864999999999</v>
      </c>
      <c r="C1157" s="334">
        <f t="shared" si="17"/>
        <v>-6.0606163268091644E-3</v>
      </c>
    </row>
    <row r="1158" spans="1:3" x14ac:dyDescent="0.3">
      <c r="A1158" s="335">
        <v>40885</v>
      </c>
      <c r="B1158">
        <v>20.975155000000001</v>
      </c>
      <c r="C1158" s="334">
        <f t="shared" ref="C1158:C1221" si="18">(B1158-B1157)/B1157</f>
        <v>2.1341621518182162E-2</v>
      </c>
    </row>
    <row r="1159" spans="1:3" x14ac:dyDescent="0.3">
      <c r="A1159" s="335">
        <v>40886</v>
      </c>
      <c r="B1159">
        <v>19.472456000000001</v>
      </c>
      <c r="C1159" s="334">
        <f t="shared" si="18"/>
        <v>-7.164185437485443E-2</v>
      </c>
    </row>
    <row r="1160" spans="1:3" x14ac:dyDescent="0.3">
      <c r="A1160" s="335">
        <v>40889</v>
      </c>
      <c r="B1160">
        <v>19.284617999999998</v>
      </c>
      <c r="C1160" s="334">
        <f t="shared" si="18"/>
        <v>-9.6463435326290033E-3</v>
      </c>
    </row>
    <row r="1161" spans="1:3" x14ac:dyDescent="0.3">
      <c r="A1161" s="335">
        <v>40890</v>
      </c>
      <c r="B1161">
        <v>18.971556</v>
      </c>
      <c r="C1161" s="334">
        <f t="shared" si="18"/>
        <v>-1.6233767243924595E-2</v>
      </c>
    </row>
    <row r="1162" spans="1:3" x14ac:dyDescent="0.3">
      <c r="A1162" s="335">
        <v>40891</v>
      </c>
      <c r="B1162">
        <v>16.279223999999999</v>
      </c>
      <c r="C1162" s="334">
        <f t="shared" si="18"/>
        <v>-0.1419141371429945</v>
      </c>
    </row>
    <row r="1163" spans="1:3" x14ac:dyDescent="0.3">
      <c r="A1163" s="335">
        <v>40892</v>
      </c>
      <c r="B1163">
        <v>16.091387000000001</v>
      </c>
      <c r="C1163" s="334">
        <f t="shared" si="18"/>
        <v>-1.1538449252863544E-2</v>
      </c>
    </row>
    <row r="1164" spans="1:3" x14ac:dyDescent="0.3">
      <c r="A1164" s="335">
        <v>40893</v>
      </c>
      <c r="B1164">
        <v>16.404447999999999</v>
      </c>
      <c r="C1164" s="334">
        <f t="shared" si="18"/>
        <v>1.9455190531431354E-2</v>
      </c>
    </row>
    <row r="1165" spans="1:3" x14ac:dyDescent="0.3">
      <c r="A1165" s="335">
        <v>40896</v>
      </c>
      <c r="B1165">
        <v>16.279223999999999</v>
      </c>
      <c r="C1165" s="334">
        <f t="shared" si="18"/>
        <v>-7.6335393912674993E-3</v>
      </c>
    </row>
    <row r="1166" spans="1:3" x14ac:dyDescent="0.3">
      <c r="A1166" s="335">
        <v>40897</v>
      </c>
      <c r="B1166">
        <v>16.592285</v>
      </c>
      <c r="C1166" s="334">
        <f t="shared" si="18"/>
        <v>1.923070780277986E-2</v>
      </c>
    </row>
    <row r="1167" spans="1:3" x14ac:dyDescent="0.3">
      <c r="A1167" s="335">
        <v>40898</v>
      </c>
      <c r="B1167">
        <v>16.592285</v>
      </c>
      <c r="C1167" s="334">
        <f t="shared" si="18"/>
        <v>0</v>
      </c>
    </row>
    <row r="1168" spans="1:3" x14ac:dyDescent="0.3">
      <c r="A1168" s="335">
        <v>40899</v>
      </c>
      <c r="B1168">
        <v>17.468861</v>
      </c>
      <c r="C1168" s="334">
        <f t="shared" si="18"/>
        <v>5.2830336508805149E-2</v>
      </c>
    </row>
    <row r="1169" spans="1:3" x14ac:dyDescent="0.3">
      <c r="A1169" s="335">
        <v>40900</v>
      </c>
      <c r="B1169">
        <v>17.719308999999999</v>
      </c>
      <c r="C1169" s="334">
        <f t="shared" si="18"/>
        <v>1.4336824822179229E-2</v>
      </c>
    </row>
    <row r="1170" spans="1:3" x14ac:dyDescent="0.3">
      <c r="A1170" s="335">
        <v>40904</v>
      </c>
      <c r="B1170">
        <v>18.595884000000002</v>
      </c>
      <c r="C1170" s="334">
        <f t="shared" si="18"/>
        <v>4.9470044232537654E-2</v>
      </c>
    </row>
    <row r="1171" spans="1:3" x14ac:dyDescent="0.3">
      <c r="A1171" s="335">
        <v>40905</v>
      </c>
      <c r="B1171">
        <v>19.848133000000001</v>
      </c>
      <c r="C1171" s="334">
        <f t="shared" si="18"/>
        <v>6.7340116769926017E-2</v>
      </c>
    </row>
    <row r="1172" spans="1:3" x14ac:dyDescent="0.3">
      <c r="A1172" s="335">
        <v>40906</v>
      </c>
      <c r="B1172">
        <v>18.783719999999999</v>
      </c>
      <c r="C1172" s="334">
        <f t="shared" si="18"/>
        <v>-5.3627865149835592E-2</v>
      </c>
    </row>
    <row r="1173" spans="1:3" x14ac:dyDescent="0.3">
      <c r="A1173" s="335">
        <v>40907</v>
      </c>
      <c r="B1173">
        <v>18.783719999999999</v>
      </c>
      <c r="C1173" s="334">
        <f t="shared" si="18"/>
        <v>0</v>
      </c>
    </row>
    <row r="1174" spans="1:3" x14ac:dyDescent="0.3">
      <c r="A1174" s="335">
        <v>40910</v>
      </c>
      <c r="B1174">
        <v>17.907146000000001</v>
      </c>
      <c r="C1174" s="334">
        <f t="shared" si="18"/>
        <v>-4.6666687961702903E-2</v>
      </c>
    </row>
    <row r="1175" spans="1:3" x14ac:dyDescent="0.3">
      <c r="A1175" s="335">
        <v>40911</v>
      </c>
      <c r="B1175">
        <v>18.157595000000001</v>
      </c>
      <c r="C1175" s="334">
        <f t="shared" si="18"/>
        <v>1.3985980792249065E-2</v>
      </c>
    </row>
    <row r="1176" spans="1:3" x14ac:dyDescent="0.3">
      <c r="A1176" s="335">
        <v>40912</v>
      </c>
      <c r="B1176">
        <v>18.783719999999999</v>
      </c>
      <c r="C1176" s="334">
        <f t="shared" si="18"/>
        <v>3.4482815593144263E-2</v>
      </c>
    </row>
    <row r="1177" spans="1:3" x14ac:dyDescent="0.3">
      <c r="A1177" s="335">
        <v>40913</v>
      </c>
      <c r="B1177">
        <v>18.783719999999999</v>
      </c>
      <c r="C1177" s="334">
        <f t="shared" si="18"/>
        <v>0</v>
      </c>
    </row>
    <row r="1178" spans="1:3" x14ac:dyDescent="0.3">
      <c r="A1178" s="335">
        <v>40914</v>
      </c>
      <c r="B1178">
        <v>17.719308999999999</v>
      </c>
      <c r="C1178" s="334">
        <f t="shared" si="18"/>
        <v>-5.666667731418483E-2</v>
      </c>
    </row>
    <row r="1179" spans="1:3" x14ac:dyDescent="0.3">
      <c r="A1179" s="335">
        <v>40917</v>
      </c>
      <c r="B1179">
        <v>18.157595000000001</v>
      </c>
      <c r="C1179" s="334">
        <f t="shared" si="18"/>
        <v>2.4734937462854874E-2</v>
      </c>
    </row>
    <row r="1180" spans="1:3" x14ac:dyDescent="0.3">
      <c r="A1180" s="335">
        <v>40918</v>
      </c>
      <c r="B1180">
        <v>18.157595000000001</v>
      </c>
      <c r="C1180" s="334">
        <f t="shared" si="18"/>
        <v>0</v>
      </c>
    </row>
    <row r="1181" spans="1:3" x14ac:dyDescent="0.3">
      <c r="A1181" s="335">
        <v>40919</v>
      </c>
      <c r="B1181">
        <v>18.783719999999999</v>
      </c>
      <c r="C1181" s="334">
        <f t="shared" si="18"/>
        <v>3.4482815593144263E-2</v>
      </c>
    </row>
    <row r="1182" spans="1:3" x14ac:dyDescent="0.3">
      <c r="A1182" s="335">
        <v>40920</v>
      </c>
      <c r="B1182">
        <v>18.783719999999999</v>
      </c>
      <c r="C1182" s="334">
        <f t="shared" si="18"/>
        <v>0</v>
      </c>
    </row>
    <row r="1183" spans="1:3" x14ac:dyDescent="0.3">
      <c r="A1183" s="335">
        <v>40921</v>
      </c>
      <c r="B1183">
        <v>19.159393000000001</v>
      </c>
      <c r="C1183" s="334">
        <f t="shared" si="18"/>
        <v>1.9999925467372948E-2</v>
      </c>
    </row>
    <row r="1184" spans="1:3" x14ac:dyDescent="0.3">
      <c r="A1184" s="335">
        <v>40924</v>
      </c>
      <c r="B1184">
        <v>19.034168000000001</v>
      </c>
      <c r="C1184" s="334">
        <f t="shared" si="18"/>
        <v>-6.5359586287519833E-3</v>
      </c>
    </row>
    <row r="1185" spans="1:3" x14ac:dyDescent="0.3">
      <c r="A1185" s="335">
        <v>40925</v>
      </c>
      <c r="B1185">
        <v>19.409842999999999</v>
      </c>
      <c r="C1185" s="334">
        <f t="shared" si="18"/>
        <v>1.9736875286589753E-2</v>
      </c>
    </row>
    <row r="1186" spans="1:3" x14ac:dyDescent="0.3">
      <c r="A1186" s="335">
        <v>40926</v>
      </c>
      <c r="B1186">
        <v>19.409842999999999</v>
      </c>
      <c r="C1186" s="334">
        <f t="shared" si="18"/>
        <v>0</v>
      </c>
    </row>
    <row r="1187" spans="1:3" x14ac:dyDescent="0.3">
      <c r="A1187" s="335">
        <v>40927</v>
      </c>
      <c r="B1187">
        <v>19.722904</v>
      </c>
      <c r="C1187" s="334">
        <f t="shared" si="18"/>
        <v>1.6128981568784517E-2</v>
      </c>
    </row>
    <row r="1188" spans="1:3" x14ac:dyDescent="0.3">
      <c r="A1188" s="335">
        <v>40928</v>
      </c>
      <c r="B1188">
        <v>20.349028000000001</v>
      </c>
      <c r="C1188" s="334">
        <f t="shared" si="18"/>
        <v>3.1746034965236397E-2</v>
      </c>
    </row>
    <row r="1189" spans="1:3" x14ac:dyDescent="0.3">
      <c r="A1189" s="335">
        <v>40931</v>
      </c>
      <c r="B1189">
        <v>19.722904</v>
      </c>
      <c r="C1189" s="334">
        <f t="shared" si="18"/>
        <v>-3.0769233793378276E-2</v>
      </c>
    </row>
    <row r="1190" spans="1:3" x14ac:dyDescent="0.3">
      <c r="A1190" s="335">
        <v>40932</v>
      </c>
      <c r="B1190">
        <v>20.349028000000001</v>
      </c>
      <c r="C1190" s="334">
        <f t="shared" si="18"/>
        <v>3.1746034965236397E-2</v>
      </c>
    </row>
    <row r="1191" spans="1:3" x14ac:dyDescent="0.3">
      <c r="A1191" s="335">
        <v>40933</v>
      </c>
      <c r="B1191">
        <v>19.409842999999999</v>
      </c>
      <c r="C1191" s="334">
        <f t="shared" si="18"/>
        <v>-4.6153801547671069E-2</v>
      </c>
    </row>
    <row r="1192" spans="1:3" x14ac:dyDescent="0.3">
      <c r="A1192" s="335">
        <v>40934</v>
      </c>
      <c r="B1192">
        <v>19.472456000000001</v>
      </c>
      <c r="C1192" s="334">
        <f t="shared" si="18"/>
        <v>3.2258375299585099E-3</v>
      </c>
    </row>
    <row r="1193" spans="1:3" x14ac:dyDescent="0.3">
      <c r="A1193" s="335">
        <v>40935</v>
      </c>
      <c r="B1193">
        <v>20.035966999999999</v>
      </c>
      <c r="C1193" s="334">
        <f t="shared" si="18"/>
        <v>2.8938876534115587E-2</v>
      </c>
    </row>
    <row r="1194" spans="1:3" x14ac:dyDescent="0.3">
      <c r="A1194" s="335">
        <v>40938</v>
      </c>
      <c r="B1194">
        <v>19.785519000000001</v>
      </c>
      <c r="C1194" s="334">
        <f t="shared" si="18"/>
        <v>-1.2499920767487722E-2</v>
      </c>
    </row>
    <row r="1195" spans="1:3" x14ac:dyDescent="0.3">
      <c r="A1195" s="335">
        <v>40939</v>
      </c>
      <c r="B1195">
        <v>20.035966999999999</v>
      </c>
      <c r="C1195" s="334">
        <f t="shared" si="18"/>
        <v>1.2658146597013637E-2</v>
      </c>
    </row>
    <row r="1196" spans="1:3" x14ac:dyDescent="0.3">
      <c r="A1196" s="335">
        <v>40940</v>
      </c>
      <c r="B1196">
        <v>20.349028000000001</v>
      </c>
      <c r="C1196" s="334">
        <f t="shared" si="18"/>
        <v>1.5624950869603705E-2</v>
      </c>
    </row>
    <row r="1197" spans="1:3" x14ac:dyDescent="0.3">
      <c r="A1197" s="335">
        <v>40941</v>
      </c>
      <c r="B1197">
        <v>20.349028000000001</v>
      </c>
      <c r="C1197" s="334">
        <f t="shared" si="18"/>
        <v>0</v>
      </c>
    </row>
    <row r="1198" spans="1:3" x14ac:dyDescent="0.3">
      <c r="A1198" s="335">
        <v>40942</v>
      </c>
      <c r="B1198">
        <v>19.660294</v>
      </c>
      <c r="C1198" s="334">
        <f t="shared" si="18"/>
        <v>-3.3846039230964749E-2</v>
      </c>
    </row>
    <row r="1199" spans="1:3" x14ac:dyDescent="0.3">
      <c r="A1199" s="335">
        <v>40945</v>
      </c>
      <c r="B1199">
        <v>20.035966999999999</v>
      </c>
      <c r="C1199" s="334">
        <f t="shared" si="18"/>
        <v>1.9108208656493084E-2</v>
      </c>
    </row>
    <row r="1200" spans="1:3" x14ac:dyDescent="0.3">
      <c r="A1200" s="335">
        <v>40946</v>
      </c>
      <c r="B1200">
        <v>19.722904</v>
      </c>
      <c r="C1200" s="334">
        <f t="shared" si="18"/>
        <v>-1.5625050690091458E-2</v>
      </c>
    </row>
    <row r="1201" spans="1:3" x14ac:dyDescent="0.3">
      <c r="A1201" s="335">
        <v>40947</v>
      </c>
      <c r="B1201">
        <v>20.098576999999999</v>
      </c>
      <c r="C1201" s="334">
        <f t="shared" si="18"/>
        <v>1.9047549995680101E-2</v>
      </c>
    </row>
    <row r="1202" spans="1:3" x14ac:dyDescent="0.3">
      <c r="A1202" s="335">
        <v>40948</v>
      </c>
      <c r="B1202">
        <v>19.722904</v>
      </c>
      <c r="C1202" s="334">
        <f t="shared" si="18"/>
        <v>-1.8691522290359117E-2</v>
      </c>
    </row>
    <row r="1203" spans="1:3" x14ac:dyDescent="0.3">
      <c r="A1203" s="335">
        <v>40949</v>
      </c>
      <c r="B1203">
        <v>19.222003999999998</v>
      </c>
      <c r="C1203" s="334">
        <f t="shared" si="18"/>
        <v>-2.5396868534167255E-2</v>
      </c>
    </row>
    <row r="1204" spans="1:3" x14ac:dyDescent="0.3">
      <c r="A1204" s="335">
        <v>40952</v>
      </c>
      <c r="B1204">
        <v>19.722904</v>
      </c>
      <c r="C1204" s="334">
        <f t="shared" si="18"/>
        <v>2.6058677336660709E-2</v>
      </c>
    </row>
    <row r="1205" spans="1:3" x14ac:dyDescent="0.3">
      <c r="A1205" s="335">
        <v>40953</v>
      </c>
      <c r="B1205">
        <v>20.035966999999999</v>
      </c>
      <c r="C1205" s="334">
        <f t="shared" si="18"/>
        <v>1.5873068185090777E-2</v>
      </c>
    </row>
    <row r="1206" spans="1:3" x14ac:dyDescent="0.3">
      <c r="A1206" s="335">
        <v>40954</v>
      </c>
      <c r="B1206">
        <v>20.662089999999999</v>
      </c>
      <c r="C1206" s="334">
        <f t="shared" si="18"/>
        <v>3.1249951649451199E-2</v>
      </c>
    </row>
    <row r="1207" spans="1:3" x14ac:dyDescent="0.3">
      <c r="A1207" s="335">
        <v>40955</v>
      </c>
      <c r="B1207">
        <v>22.227402000000001</v>
      </c>
      <c r="C1207" s="334">
        <f t="shared" si="18"/>
        <v>7.5757679886207172E-2</v>
      </c>
    </row>
    <row r="1208" spans="1:3" x14ac:dyDescent="0.3">
      <c r="A1208" s="335">
        <v>40956</v>
      </c>
      <c r="B1208">
        <v>22.540464</v>
      </c>
      <c r="C1208" s="334">
        <f t="shared" si="18"/>
        <v>1.4084507042253457E-2</v>
      </c>
    </row>
    <row r="1209" spans="1:3" x14ac:dyDescent="0.3">
      <c r="A1209" s="335">
        <v>40959</v>
      </c>
      <c r="B1209">
        <v>23.103977</v>
      </c>
      <c r="C1209" s="334">
        <f t="shared" si="18"/>
        <v>2.5000062110522674E-2</v>
      </c>
    </row>
    <row r="1210" spans="1:3" x14ac:dyDescent="0.3">
      <c r="A1210" s="335">
        <v>40960</v>
      </c>
      <c r="B1210">
        <v>23.166588000000001</v>
      </c>
      <c r="C1210" s="334">
        <f t="shared" si="18"/>
        <v>2.7099663404270362E-3</v>
      </c>
    </row>
    <row r="1211" spans="1:3" x14ac:dyDescent="0.3">
      <c r="A1211" s="335">
        <v>40961</v>
      </c>
      <c r="B1211">
        <v>21.663885000000001</v>
      </c>
      <c r="C1211" s="334">
        <f t="shared" si="18"/>
        <v>-6.4865097959181578E-2</v>
      </c>
    </row>
    <row r="1212" spans="1:3" x14ac:dyDescent="0.3">
      <c r="A1212" s="335">
        <v>40962</v>
      </c>
      <c r="B1212">
        <v>22.540464</v>
      </c>
      <c r="C1212" s="334">
        <f t="shared" si="18"/>
        <v>4.0462687094212302E-2</v>
      </c>
    </row>
    <row r="1213" spans="1:3" x14ac:dyDescent="0.3">
      <c r="A1213" s="335">
        <v>40963</v>
      </c>
      <c r="B1213">
        <v>21.288214</v>
      </c>
      <c r="C1213" s="334">
        <f t="shared" si="18"/>
        <v>-5.555564428487364E-2</v>
      </c>
    </row>
    <row r="1214" spans="1:3" x14ac:dyDescent="0.3">
      <c r="A1214" s="335">
        <v>40966</v>
      </c>
      <c r="B1214">
        <v>20.912544</v>
      </c>
      <c r="C1214" s="334">
        <f t="shared" si="18"/>
        <v>-1.7646853794310764E-2</v>
      </c>
    </row>
    <row r="1215" spans="1:3" x14ac:dyDescent="0.3">
      <c r="A1215" s="335">
        <v>40967</v>
      </c>
      <c r="B1215">
        <v>20.912544</v>
      </c>
      <c r="C1215" s="334">
        <f t="shared" si="18"/>
        <v>0</v>
      </c>
    </row>
    <row r="1216" spans="1:3" x14ac:dyDescent="0.3">
      <c r="A1216" s="335">
        <v>40968</v>
      </c>
      <c r="B1216">
        <v>20.474253000000001</v>
      </c>
      <c r="C1216" s="334">
        <f t="shared" si="18"/>
        <v>-2.0958282263506513E-2</v>
      </c>
    </row>
    <row r="1217" spans="1:3" x14ac:dyDescent="0.3">
      <c r="A1217" s="335">
        <v>40969</v>
      </c>
      <c r="B1217">
        <v>19.034168000000001</v>
      </c>
      <c r="C1217" s="334">
        <f t="shared" si="18"/>
        <v>-7.0336387852587334E-2</v>
      </c>
    </row>
    <row r="1218" spans="1:3" x14ac:dyDescent="0.3">
      <c r="A1218" s="335">
        <v>40970</v>
      </c>
      <c r="B1218">
        <v>18.783719999999999</v>
      </c>
      <c r="C1218" s="334">
        <f t="shared" si="18"/>
        <v>-1.3157811783525406E-2</v>
      </c>
    </row>
    <row r="1219" spans="1:3" x14ac:dyDescent="0.3">
      <c r="A1219" s="335">
        <v>40973</v>
      </c>
      <c r="B1219">
        <v>18.157595000000001</v>
      </c>
      <c r="C1219" s="334">
        <f t="shared" si="18"/>
        <v>-3.3333386570924092E-2</v>
      </c>
    </row>
    <row r="1220" spans="1:3" x14ac:dyDescent="0.3">
      <c r="A1220" s="335">
        <v>40974</v>
      </c>
      <c r="B1220">
        <v>17.844532000000001</v>
      </c>
      <c r="C1220" s="334">
        <f t="shared" si="18"/>
        <v>-1.7241435333258597E-2</v>
      </c>
    </row>
    <row r="1221" spans="1:3" x14ac:dyDescent="0.3">
      <c r="A1221" s="335">
        <v>40975</v>
      </c>
      <c r="B1221">
        <v>18.220206999999998</v>
      </c>
      <c r="C1221" s="334">
        <f t="shared" si="18"/>
        <v>2.1052667562253664E-2</v>
      </c>
    </row>
    <row r="1222" spans="1:3" x14ac:dyDescent="0.3">
      <c r="A1222" s="335">
        <v>40976</v>
      </c>
      <c r="B1222">
        <v>19.409842999999999</v>
      </c>
      <c r="C1222" s="334">
        <f t="shared" ref="C1222:C1285" si="19">(B1222-B1221)/B1221</f>
        <v>6.5292123190477488E-2</v>
      </c>
    </row>
    <row r="1223" spans="1:3" x14ac:dyDescent="0.3">
      <c r="A1223" s="335">
        <v>40977</v>
      </c>
      <c r="B1223">
        <v>18.908944999999999</v>
      </c>
      <c r="C1223" s="334">
        <f t="shared" si="19"/>
        <v>-2.5806391118155848E-2</v>
      </c>
    </row>
    <row r="1224" spans="1:3" x14ac:dyDescent="0.3">
      <c r="A1224" s="335">
        <v>40980</v>
      </c>
      <c r="B1224">
        <v>18.783719999999999</v>
      </c>
      <c r="C1224" s="334">
        <f t="shared" si="19"/>
        <v>-6.6225270632497141E-3</v>
      </c>
    </row>
    <row r="1225" spans="1:3" x14ac:dyDescent="0.3">
      <c r="A1225" s="335">
        <v>40981</v>
      </c>
      <c r="B1225">
        <v>19.034168000000001</v>
      </c>
      <c r="C1225" s="334">
        <f t="shared" si="19"/>
        <v>1.3333248153188093E-2</v>
      </c>
    </row>
    <row r="1226" spans="1:3" x14ac:dyDescent="0.3">
      <c r="A1226" s="335">
        <v>40982</v>
      </c>
      <c r="B1226">
        <v>19.347228999999999</v>
      </c>
      <c r="C1226" s="334">
        <f t="shared" si="19"/>
        <v>1.6447317266507135E-2</v>
      </c>
    </row>
    <row r="1227" spans="1:3" x14ac:dyDescent="0.3">
      <c r="A1227" s="335">
        <v>40983</v>
      </c>
      <c r="B1227">
        <v>19.722904</v>
      </c>
      <c r="C1227" s="334">
        <f t="shared" si="19"/>
        <v>1.9417509349788597E-2</v>
      </c>
    </row>
    <row r="1228" spans="1:3" x14ac:dyDescent="0.3">
      <c r="A1228" s="335">
        <v>40984</v>
      </c>
      <c r="B1228">
        <v>19.722904</v>
      </c>
      <c r="C1228" s="334">
        <f t="shared" si="19"/>
        <v>0</v>
      </c>
    </row>
    <row r="1229" spans="1:3" x14ac:dyDescent="0.3">
      <c r="A1229" s="335">
        <v>40987</v>
      </c>
      <c r="B1229">
        <v>19.597681000000001</v>
      </c>
      <c r="C1229" s="334">
        <f t="shared" si="19"/>
        <v>-6.3491157285964737E-3</v>
      </c>
    </row>
    <row r="1230" spans="1:3" x14ac:dyDescent="0.3">
      <c r="A1230" s="335">
        <v>40988</v>
      </c>
      <c r="B1230">
        <v>19.347228999999999</v>
      </c>
      <c r="C1230" s="334">
        <f t="shared" si="19"/>
        <v>-1.2779675309543142E-2</v>
      </c>
    </row>
    <row r="1231" spans="1:3" x14ac:dyDescent="0.3">
      <c r="A1231" s="335">
        <v>40989</v>
      </c>
      <c r="B1231">
        <v>19.347228999999999</v>
      </c>
      <c r="C1231" s="334">
        <f t="shared" si="19"/>
        <v>0</v>
      </c>
    </row>
    <row r="1232" spans="1:3" x14ac:dyDescent="0.3">
      <c r="A1232" s="335">
        <v>40990</v>
      </c>
      <c r="B1232">
        <v>19.159393000000001</v>
      </c>
      <c r="C1232" s="334">
        <f t="shared" si="19"/>
        <v>-9.7086771444115979E-3</v>
      </c>
    </row>
    <row r="1233" spans="1:3" x14ac:dyDescent="0.3">
      <c r="A1233" s="335">
        <v>40991</v>
      </c>
      <c r="B1233">
        <v>19.096782999999999</v>
      </c>
      <c r="C1233" s="334">
        <f t="shared" si="19"/>
        <v>-3.2678488300753022E-3</v>
      </c>
    </row>
    <row r="1234" spans="1:3" x14ac:dyDescent="0.3">
      <c r="A1234" s="335">
        <v>40994</v>
      </c>
      <c r="B1234">
        <v>18.595884000000002</v>
      </c>
      <c r="C1234" s="334">
        <f t="shared" si="19"/>
        <v>-2.6229496350248988E-2</v>
      </c>
    </row>
    <row r="1235" spans="1:3" x14ac:dyDescent="0.3">
      <c r="A1235" s="335">
        <v>40995</v>
      </c>
      <c r="B1235">
        <v>18.595884000000002</v>
      </c>
      <c r="C1235" s="334">
        <f t="shared" si="19"/>
        <v>0</v>
      </c>
    </row>
    <row r="1236" spans="1:3" x14ac:dyDescent="0.3">
      <c r="A1236" s="335">
        <v>40996</v>
      </c>
      <c r="B1236">
        <v>18.595884000000002</v>
      </c>
      <c r="C1236" s="334">
        <f t="shared" si="19"/>
        <v>0</v>
      </c>
    </row>
    <row r="1237" spans="1:3" x14ac:dyDescent="0.3">
      <c r="A1237" s="335">
        <v>40997</v>
      </c>
      <c r="B1237">
        <v>18.220206999999998</v>
      </c>
      <c r="C1237" s="334">
        <f t="shared" si="19"/>
        <v>-2.0202158714261884E-2</v>
      </c>
    </row>
    <row r="1238" spans="1:3" x14ac:dyDescent="0.3">
      <c r="A1238" s="335">
        <v>40998</v>
      </c>
      <c r="B1238">
        <v>18.220206999999998</v>
      </c>
      <c r="C1238" s="334">
        <f t="shared" si="19"/>
        <v>0</v>
      </c>
    </row>
    <row r="1239" spans="1:3" x14ac:dyDescent="0.3">
      <c r="A1239" s="335">
        <v>41001</v>
      </c>
      <c r="B1239">
        <v>18.783719999999999</v>
      </c>
      <c r="C1239" s="334">
        <f t="shared" si="19"/>
        <v>3.0927914265738057E-2</v>
      </c>
    </row>
    <row r="1240" spans="1:3" x14ac:dyDescent="0.3">
      <c r="A1240" s="335">
        <v>41002</v>
      </c>
      <c r="B1240">
        <v>18.470656999999999</v>
      </c>
      <c r="C1240" s="334">
        <f t="shared" si="19"/>
        <v>-1.6666719904257499E-2</v>
      </c>
    </row>
    <row r="1241" spans="1:3" x14ac:dyDescent="0.3">
      <c r="A1241" s="335">
        <v>41003</v>
      </c>
      <c r="B1241">
        <v>18.345431999999999</v>
      </c>
      <c r="C1241" s="334">
        <f t="shared" si="19"/>
        <v>-6.7796722119846829E-3</v>
      </c>
    </row>
    <row r="1242" spans="1:3" x14ac:dyDescent="0.3">
      <c r="A1242" s="335">
        <v>41009</v>
      </c>
      <c r="B1242">
        <v>18.157595000000001</v>
      </c>
      <c r="C1242" s="334">
        <f t="shared" si="19"/>
        <v>-1.0238897617673886E-2</v>
      </c>
    </row>
    <row r="1243" spans="1:3" x14ac:dyDescent="0.3">
      <c r="A1243" s="335">
        <v>41010</v>
      </c>
      <c r="B1243">
        <v>18.157595000000001</v>
      </c>
      <c r="C1243" s="334">
        <f t="shared" si="19"/>
        <v>0</v>
      </c>
    </row>
    <row r="1244" spans="1:3" x14ac:dyDescent="0.3">
      <c r="A1244" s="335">
        <v>41011</v>
      </c>
      <c r="B1244">
        <v>17.719308999999999</v>
      </c>
      <c r="C1244" s="334">
        <f t="shared" si="19"/>
        <v>-2.4137888305141814E-2</v>
      </c>
    </row>
    <row r="1245" spans="1:3" x14ac:dyDescent="0.3">
      <c r="A1245" s="335">
        <v>41012</v>
      </c>
      <c r="B1245">
        <v>17.531469000000001</v>
      </c>
      <c r="C1245" s="334">
        <f t="shared" si="19"/>
        <v>-1.0600864853138336E-2</v>
      </c>
    </row>
    <row r="1246" spans="1:3" x14ac:dyDescent="0.3">
      <c r="A1246" s="335">
        <v>41015</v>
      </c>
      <c r="B1246">
        <v>17.531469000000001</v>
      </c>
      <c r="C1246" s="334">
        <f t="shared" si="19"/>
        <v>0</v>
      </c>
    </row>
    <row r="1247" spans="1:3" x14ac:dyDescent="0.3">
      <c r="A1247" s="335">
        <v>41016</v>
      </c>
      <c r="B1247">
        <v>17.531469000000001</v>
      </c>
      <c r="C1247" s="334">
        <f t="shared" si="19"/>
        <v>0</v>
      </c>
    </row>
    <row r="1248" spans="1:3" x14ac:dyDescent="0.3">
      <c r="A1248" s="335">
        <v>41017</v>
      </c>
      <c r="B1248">
        <v>18.032371999999999</v>
      </c>
      <c r="C1248" s="334">
        <f t="shared" si="19"/>
        <v>2.8571650213681316E-2</v>
      </c>
    </row>
    <row r="1249" spans="1:3" x14ac:dyDescent="0.3">
      <c r="A1249" s="335">
        <v>41018</v>
      </c>
      <c r="B1249">
        <v>17.719308999999999</v>
      </c>
      <c r="C1249" s="334">
        <f t="shared" si="19"/>
        <v>-1.7361165796712694E-2</v>
      </c>
    </row>
    <row r="1250" spans="1:3" x14ac:dyDescent="0.3">
      <c r="A1250" s="335">
        <v>41019</v>
      </c>
      <c r="B1250">
        <v>17.531469000000001</v>
      </c>
      <c r="C1250" s="334">
        <f t="shared" si="19"/>
        <v>-1.0600864853138336E-2</v>
      </c>
    </row>
    <row r="1251" spans="1:3" x14ac:dyDescent="0.3">
      <c r="A1251" s="335">
        <v>41022</v>
      </c>
      <c r="B1251">
        <v>16.967960000000001</v>
      </c>
      <c r="C1251" s="334">
        <f t="shared" si="19"/>
        <v>-3.2142714338427643E-2</v>
      </c>
    </row>
    <row r="1252" spans="1:3" x14ac:dyDescent="0.3">
      <c r="A1252" s="335">
        <v>41023</v>
      </c>
      <c r="B1252">
        <v>18.094984</v>
      </c>
      <c r="C1252" s="334">
        <f t="shared" si="19"/>
        <v>6.6420712920115241E-2</v>
      </c>
    </row>
    <row r="1253" spans="1:3" x14ac:dyDescent="0.3">
      <c r="A1253" s="335">
        <v>41024</v>
      </c>
      <c r="B1253">
        <v>17.844532000000001</v>
      </c>
      <c r="C1253" s="334">
        <f t="shared" si="19"/>
        <v>-1.3840962777308851E-2</v>
      </c>
    </row>
    <row r="1254" spans="1:3" x14ac:dyDescent="0.3">
      <c r="A1254" s="335">
        <v>41025</v>
      </c>
      <c r="B1254">
        <v>18.157595000000001</v>
      </c>
      <c r="C1254" s="334">
        <f t="shared" si="19"/>
        <v>1.754391765499928E-2</v>
      </c>
    </row>
    <row r="1255" spans="1:3" x14ac:dyDescent="0.3">
      <c r="A1255" s="335">
        <v>41026</v>
      </c>
      <c r="B1255">
        <v>17.844532000000001</v>
      </c>
      <c r="C1255" s="334">
        <f t="shared" si="19"/>
        <v>-1.7241435333258597E-2</v>
      </c>
    </row>
    <row r="1256" spans="1:3" x14ac:dyDescent="0.3">
      <c r="A1256" s="335">
        <v>41029</v>
      </c>
      <c r="B1256">
        <v>18.783719999999999</v>
      </c>
      <c r="C1256" s="334">
        <f t="shared" si="19"/>
        <v>5.2631696925422189E-2</v>
      </c>
    </row>
    <row r="1257" spans="1:3" x14ac:dyDescent="0.3">
      <c r="A1257" s="335">
        <v>41031</v>
      </c>
      <c r="B1257">
        <v>17.844532000000001</v>
      </c>
      <c r="C1257" s="334">
        <f t="shared" si="19"/>
        <v>-5.0000106475181591E-2</v>
      </c>
    </row>
    <row r="1258" spans="1:3" x14ac:dyDescent="0.3">
      <c r="A1258" s="335">
        <v>41032</v>
      </c>
      <c r="B1258">
        <v>18.470656999999999</v>
      </c>
      <c r="C1258" s="334">
        <f t="shared" si="19"/>
        <v>3.5087779270422906E-2</v>
      </c>
    </row>
    <row r="1259" spans="1:3" x14ac:dyDescent="0.3">
      <c r="A1259" s="335">
        <v>41033</v>
      </c>
      <c r="B1259">
        <v>18.157595000000001</v>
      </c>
      <c r="C1259" s="334">
        <f t="shared" si="19"/>
        <v>-1.6949153459998669E-2</v>
      </c>
    </row>
    <row r="1260" spans="1:3" x14ac:dyDescent="0.3">
      <c r="A1260" s="335">
        <v>41036</v>
      </c>
      <c r="B1260">
        <v>19.034168000000001</v>
      </c>
      <c r="C1260" s="334">
        <f t="shared" si="19"/>
        <v>4.8275831683656366E-2</v>
      </c>
    </row>
    <row r="1261" spans="1:3" x14ac:dyDescent="0.3">
      <c r="A1261" s="335">
        <v>41037</v>
      </c>
      <c r="B1261">
        <v>18.157595000000001</v>
      </c>
      <c r="C1261" s="334">
        <f t="shared" si="19"/>
        <v>-4.6052603927841787E-2</v>
      </c>
    </row>
    <row r="1262" spans="1:3" x14ac:dyDescent="0.3">
      <c r="A1262" s="335">
        <v>41038</v>
      </c>
      <c r="B1262">
        <v>18.157595000000001</v>
      </c>
      <c r="C1262" s="334">
        <f t="shared" si="19"/>
        <v>0</v>
      </c>
    </row>
    <row r="1263" spans="1:3" x14ac:dyDescent="0.3">
      <c r="A1263" s="335">
        <v>41039</v>
      </c>
      <c r="B1263">
        <v>18.345431999999999</v>
      </c>
      <c r="C1263" s="334">
        <f t="shared" si="19"/>
        <v>1.0344817141256771E-2</v>
      </c>
    </row>
    <row r="1264" spans="1:3" x14ac:dyDescent="0.3">
      <c r="A1264" s="335">
        <v>41040</v>
      </c>
      <c r="B1264">
        <v>18.846333000000001</v>
      </c>
      <c r="C1264" s="334">
        <f t="shared" si="19"/>
        <v>2.7303854169256004E-2</v>
      </c>
    </row>
    <row r="1265" spans="1:3" x14ac:dyDescent="0.3">
      <c r="A1265" s="335">
        <v>41043</v>
      </c>
      <c r="B1265">
        <v>18.783719999999999</v>
      </c>
      <c r="C1265" s="334">
        <f t="shared" si="19"/>
        <v>-3.3222908668759312E-3</v>
      </c>
    </row>
    <row r="1266" spans="1:3" x14ac:dyDescent="0.3">
      <c r="A1266" s="335">
        <v>41044</v>
      </c>
      <c r="B1266">
        <v>18.783719999999999</v>
      </c>
      <c r="C1266" s="334">
        <f t="shared" si="19"/>
        <v>0</v>
      </c>
    </row>
    <row r="1267" spans="1:3" x14ac:dyDescent="0.3">
      <c r="A1267" s="335">
        <v>41045</v>
      </c>
      <c r="B1267">
        <v>17.844532000000001</v>
      </c>
      <c r="C1267" s="334">
        <f t="shared" si="19"/>
        <v>-5.0000106475181591E-2</v>
      </c>
    </row>
    <row r="1268" spans="1:3" x14ac:dyDescent="0.3">
      <c r="A1268" s="335">
        <v>41047</v>
      </c>
      <c r="B1268">
        <v>17.594083999999999</v>
      </c>
      <c r="C1268" s="334">
        <f t="shared" si="19"/>
        <v>-1.4034999629018134E-2</v>
      </c>
    </row>
    <row r="1269" spans="1:3" x14ac:dyDescent="0.3">
      <c r="A1269" s="335">
        <v>41050</v>
      </c>
      <c r="B1269">
        <v>17.844532000000001</v>
      </c>
      <c r="C1269" s="334">
        <f t="shared" si="19"/>
        <v>1.4234784828809629E-2</v>
      </c>
    </row>
    <row r="1270" spans="1:3" x14ac:dyDescent="0.3">
      <c r="A1270" s="335">
        <v>41051</v>
      </c>
      <c r="B1270">
        <v>18.470656999999999</v>
      </c>
      <c r="C1270" s="334">
        <f t="shared" si="19"/>
        <v>3.5087779270422906E-2</v>
      </c>
    </row>
    <row r="1271" spans="1:3" x14ac:dyDescent="0.3">
      <c r="A1271" s="335">
        <v>41052</v>
      </c>
      <c r="B1271">
        <v>18.533268</v>
      </c>
      <c r="C1271" s="334">
        <f t="shared" si="19"/>
        <v>3.3897548961036102E-3</v>
      </c>
    </row>
    <row r="1272" spans="1:3" x14ac:dyDescent="0.3">
      <c r="A1272" s="335">
        <v>41053</v>
      </c>
      <c r="B1272">
        <v>18.094984</v>
      </c>
      <c r="C1272" s="334">
        <f t="shared" si="19"/>
        <v>-2.3648500631405073E-2</v>
      </c>
    </row>
    <row r="1273" spans="1:3" x14ac:dyDescent="0.3">
      <c r="A1273" s="335">
        <v>41054</v>
      </c>
      <c r="B1273">
        <v>17.594083999999999</v>
      </c>
      <c r="C1273" s="334">
        <f t="shared" si="19"/>
        <v>-2.7681704498882201E-2</v>
      </c>
    </row>
    <row r="1274" spans="1:3" x14ac:dyDescent="0.3">
      <c r="A1274" s="335">
        <v>41058</v>
      </c>
      <c r="B1274">
        <v>17.343636</v>
      </c>
      <c r="C1274" s="334">
        <f t="shared" si="19"/>
        <v>-1.4234784828809428E-2</v>
      </c>
    </row>
    <row r="1275" spans="1:3" x14ac:dyDescent="0.3">
      <c r="A1275" s="335">
        <v>41059</v>
      </c>
      <c r="B1275">
        <v>17.781921000000001</v>
      </c>
      <c r="C1275" s="334">
        <f t="shared" si="19"/>
        <v>2.5270652589802996E-2</v>
      </c>
    </row>
    <row r="1276" spans="1:3" x14ac:dyDescent="0.3">
      <c r="A1276" s="335">
        <v>41060</v>
      </c>
      <c r="B1276">
        <v>18.157595000000001</v>
      </c>
      <c r="C1276" s="334">
        <f t="shared" si="19"/>
        <v>2.1126738781484862E-2</v>
      </c>
    </row>
    <row r="1277" spans="1:3" x14ac:dyDescent="0.3">
      <c r="A1277" s="335">
        <v>41061</v>
      </c>
      <c r="B1277">
        <v>18.032371999999999</v>
      </c>
      <c r="C1277" s="334">
        <f t="shared" si="19"/>
        <v>-6.896452971883218E-3</v>
      </c>
    </row>
    <row r="1278" spans="1:3" x14ac:dyDescent="0.3">
      <c r="A1278" s="335">
        <v>41064</v>
      </c>
      <c r="B1278">
        <v>17.218409999999999</v>
      </c>
      <c r="C1278" s="334">
        <f t="shared" si="19"/>
        <v>-4.5138931250974644E-2</v>
      </c>
    </row>
    <row r="1279" spans="1:3" x14ac:dyDescent="0.3">
      <c r="A1279" s="335">
        <v>41065</v>
      </c>
      <c r="B1279">
        <v>17.218409999999999</v>
      </c>
      <c r="C1279" s="334">
        <f t="shared" si="19"/>
        <v>0</v>
      </c>
    </row>
    <row r="1280" spans="1:3" x14ac:dyDescent="0.3">
      <c r="A1280" s="335">
        <v>41066</v>
      </c>
      <c r="B1280">
        <v>17.531469000000001</v>
      </c>
      <c r="C1280" s="334">
        <f t="shared" si="19"/>
        <v>1.8181643949702828E-2</v>
      </c>
    </row>
    <row r="1281" spans="1:3" x14ac:dyDescent="0.3">
      <c r="A1281" s="335">
        <v>41067</v>
      </c>
      <c r="B1281">
        <v>17.281023000000001</v>
      </c>
      <c r="C1281" s="334">
        <f t="shared" si="19"/>
        <v>-1.4285511385269548E-2</v>
      </c>
    </row>
    <row r="1282" spans="1:3" x14ac:dyDescent="0.3">
      <c r="A1282" s="335">
        <v>41068</v>
      </c>
      <c r="B1282">
        <v>16.592285</v>
      </c>
      <c r="C1282" s="334">
        <f t="shared" si="19"/>
        <v>-3.9855163667104704E-2</v>
      </c>
    </row>
    <row r="1283" spans="1:3" x14ac:dyDescent="0.3">
      <c r="A1283" s="335">
        <v>41071</v>
      </c>
      <c r="B1283">
        <v>16.905348</v>
      </c>
      <c r="C1283" s="334">
        <f t="shared" si="19"/>
        <v>1.8867985934426731E-2</v>
      </c>
    </row>
    <row r="1284" spans="1:3" x14ac:dyDescent="0.3">
      <c r="A1284" s="335">
        <v>41072</v>
      </c>
      <c r="B1284">
        <v>16.905348</v>
      </c>
      <c r="C1284" s="334">
        <f t="shared" si="19"/>
        <v>0</v>
      </c>
    </row>
    <row r="1285" spans="1:3" x14ac:dyDescent="0.3">
      <c r="A1285" s="335">
        <v>41073</v>
      </c>
      <c r="B1285">
        <v>16.404447999999999</v>
      </c>
      <c r="C1285" s="334">
        <f t="shared" si="19"/>
        <v>-2.9629676951932693E-2</v>
      </c>
    </row>
    <row r="1286" spans="1:3" x14ac:dyDescent="0.3">
      <c r="A1286" s="335">
        <v>41074</v>
      </c>
      <c r="B1286">
        <v>16.592285</v>
      </c>
      <c r="C1286" s="334">
        <f t="shared" ref="C1286:C1349" si="20">(B1286-B1285)/B1285</f>
        <v>1.1450370045977884E-2</v>
      </c>
    </row>
    <row r="1287" spans="1:3" x14ac:dyDescent="0.3">
      <c r="A1287" s="335">
        <v>41075</v>
      </c>
      <c r="B1287">
        <v>17.844532000000001</v>
      </c>
      <c r="C1287" s="334">
        <f t="shared" si="20"/>
        <v>7.547164239283502E-2</v>
      </c>
    </row>
    <row r="1288" spans="1:3" x14ac:dyDescent="0.3">
      <c r="A1288" s="335">
        <v>41078</v>
      </c>
      <c r="B1288">
        <v>17.844532000000001</v>
      </c>
      <c r="C1288" s="334">
        <f t="shared" si="20"/>
        <v>0</v>
      </c>
    </row>
    <row r="1289" spans="1:3" x14ac:dyDescent="0.3">
      <c r="A1289" s="335">
        <v>41079</v>
      </c>
      <c r="B1289">
        <v>18.157595000000001</v>
      </c>
      <c r="C1289" s="334">
        <f t="shared" si="20"/>
        <v>1.754391765499928E-2</v>
      </c>
    </row>
    <row r="1290" spans="1:3" x14ac:dyDescent="0.3">
      <c r="A1290" s="335">
        <v>41080</v>
      </c>
      <c r="B1290">
        <v>17.844532000000001</v>
      </c>
      <c r="C1290" s="334">
        <f t="shared" si="20"/>
        <v>-1.7241435333258597E-2</v>
      </c>
    </row>
    <row r="1291" spans="1:3" x14ac:dyDescent="0.3">
      <c r="A1291" s="335">
        <v>41081</v>
      </c>
      <c r="B1291">
        <v>17.594083999999999</v>
      </c>
      <c r="C1291" s="334">
        <f t="shared" si="20"/>
        <v>-1.4034999629018134E-2</v>
      </c>
    </row>
    <row r="1292" spans="1:3" x14ac:dyDescent="0.3">
      <c r="A1292" s="335">
        <v>41082</v>
      </c>
      <c r="B1292">
        <v>16.780121000000001</v>
      </c>
      <c r="C1292" s="334">
        <f t="shared" si="20"/>
        <v>-4.6263448554639028E-2</v>
      </c>
    </row>
    <row r="1293" spans="1:3" x14ac:dyDescent="0.3">
      <c r="A1293" s="335">
        <v>41085</v>
      </c>
      <c r="B1293">
        <v>17.093184000000001</v>
      </c>
      <c r="C1293" s="334">
        <f t="shared" si="20"/>
        <v>1.8656778458272121E-2</v>
      </c>
    </row>
    <row r="1294" spans="1:3" x14ac:dyDescent="0.3">
      <c r="A1294" s="335">
        <v>41086</v>
      </c>
      <c r="B1294">
        <v>16.967960000000001</v>
      </c>
      <c r="C1294" s="334">
        <f t="shared" si="20"/>
        <v>-7.3259610380371105E-3</v>
      </c>
    </row>
    <row r="1295" spans="1:3" x14ac:dyDescent="0.3">
      <c r="A1295" s="335">
        <v>41087</v>
      </c>
      <c r="B1295">
        <v>17.844532000000001</v>
      </c>
      <c r="C1295" s="334">
        <f t="shared" si="20"/>
        <v>5.1660423527636758E-2</v>
      </c>
    </row>
    <row r="1296" spans="1:3" x14ac:dyDescent="0.3">
      <c r="A1296" s="335">
        <v>41088</v>
      </c>
      <c r="B1296">
        <v>18.470656999999999</v>
      </c>
      <c r="C1296" s="334">
        <f t="shared" si="20"/>
        <v>3.5087779270422906E-2</v>
      </c>
    </row>
    <row r="1297" spans="1:3" x14ac:dyDescent="0.3">
      <c r="A1297" s="335">
        <v>41089</v>
      </c>
      <c r="B1297">
        <v>19.722904</v>
      </c>
      <c r="C1297" s="334">
        <f t="shared" si="20"/>
        <v>6.7796559700069176E-2</v>
      </c>
    </row>
    <row r="1298" spans="1:3" x14ac:dyDescent="0.3">
      <c r="A1298" s="335">
        <v>41092</v>
      </c>
      <c r="B1298">
        <v>20.035966999999999</v>
      </c>
      <c r="C1298" s="334">
        <f t="shared" si="20"/>
        <v>1.5873068185090777E-2</v>
      </c>
    </row>
    <row r="1299" spans="1:3" x14ac:dyDescent="0.3">
      <c r="A1299" s="335">
        <v>41093</v>
      </c>
      <c r="B1299">
        <v>20.035966999999999</v>
      </c>
      <c r="C1299" s="334">
        <f t="shared" si="20"/>
        <v>0</v>
      </c>
    </row>
    <row r="1300" spans="1:3" x14ac:dyDescent="0.3">
      <c r="A1300" s="335">
        <v>41094</v>
      </c>
      <c r="B1300">
        <v>19.722904</v>
      </c>
      <c r="C1300" s="334">
        <f t="shared" si="20"/>
        <v>-1.5625050690091458E-2</v>
      </c>
    </row>
    <row r="1301" spans="1:3" x14ac:dyDescent="0.3">
      <c r="A1301" s="335">
        <v>41095</v>
      </c>
      <c r="B1301">
        <v>19.722904</v>
      </c>
      <c r="C1301" s="334">
        <f t="shared" si="20"/>
        <v>0</v>
      </c>
    </row>
    <row r="1302" spans="1:3" x14ac:dyDescent="0.3">
      <c r="A1302" s="335">
        <v>41096</v>
      </c>
      <c r="B1302">
        <v>20.035966999999999</v>
      </c>
      <c r="C1302" s="334">
        <f t="shared" si="20"/>
        <v>1.5873068185090777E-2</v>
      </c>
    </row>
    <row r="1303" spans="1:3" x14ac:dyDescent="0.3">
      <c r="A1303" s="335">
        <v>41099</v>
      </c>
      <c r="B1303">
        <v>19.910741999999999</v>
      </c>
      <c r="C1303" s="334">
        <f t="shared" si="20"/>
        <v>-6.2500102939878257E-3</v>
      </c>
    </row>
    <row r="1304" spans="1:3" x14ac:dyDescent="0.3">
      <c r="A1304" s="335">
        <v>41100</v>
      </c>
      <c r="B1304">
        <v>19.722904</v>
      </c>
      <c r="C1304" s="334">
        <f t="shared" si="20"/>
        <v>-9.4340030120424086E-3</v>
      </c>
    </row>
    <row r="1305" spans="1:3" x14ac:dyDescent="0.3">
      <c r="A1305" s="335">
        <v>41101</v>
      </c>
      <c r="B1305">
        <v>20.035966999999999</v>
      </c>
      <c r="C1305" s="334">
        <f t="shared" si="20"/>
        <v>1.5873068185090777E-2</v>
      </c>
    </row>
    <row r="1306" spans="1:3" x14ac:dyDescent="0.3">
      <c r="A1306" s="335">
        <v>41102</v>
      </c>
      <c r="B1306">
        <v>20.161193999999998</v>
      </c>
      <c r="C1306" s="334">
        <f t="shared" si="20"/>
        <v>6.2501101144755763E-3</v>
      </c>
    </row>
    <row r="1307" spans="1:3" x14ac:dyDescent="0.3">
      <c r="A1307" s="335">
        <v>41103</v>
      </c>
      <c r="B1307">
        <v>20.59948</v>
      </c>
      <c r="C1307" s="334">
        <f t="shared" si="20"/>
        <v>2.1739089460673884E-2</v>
      </c>
    </row>
    <row r="1308" spans="1:3" x14ac:dyDescent="0.3">
      <c r="A1308" s="335">
        <v>41106</v>
      </c>
      <c r="B1308">
        <v>20.59948</v>
      </c>
      <c r="C1308" s="334">
        <f t="shared" si="20"/>
        <v>0</v>
      </c>
    </row>
    <row r="1309" spans="1:3" x14ac:dyDescent="0.3">
      <c r="A1309" s="335">
        <v>41107</v>
      </c>
      <c r="B1309">
        <v>21.100377999999999</v>
      </c>
      <c r="C1309" s="334">
        <f t="shared" si="20"/>
        <v>2.4316050696425319E-2</v>
      </c>
    </row>
    <row r="1310" spans="1:3" x14ac:dyDescent="0.3">
      <c r="A1310" s="335">
        <v>41108</v>
      </c>
      <c r="B1310">
        <v>20.349028000000001</v>
      </c>
      <c r="C1310" s="334">
        <f t="shared" si="20"/>
        <v>-3.5608366826414134E-2</v>
      </c>
    </row>
    <row r="1311" spans="1:3" x14ac:dyDescent="0.3">
      <c r="A1311" s="335">
        <v>41109</v>
      </c>
      <c r="B1311">
        <v>20.349028000000001</v>
      </c>
      <c r="C1311" s="334">
        <f t="shared" si="20"/>
        <v>0</v>
      </c>
    </row>
    <row r="1312" spans="1:3" x14ac:dyDescent="0.3">
      <c r="A1312" s="335">
        <v>41110</v>
      </c>
      <c r="B1312">
        <v>19.597681000000001</v>
      </c>
      <c r="C1312" s="334">
        <f t="shared" si="20"/>
        <v>-3.6922992095740348E-2</v>
      </c>
    </row>
    <row r="1313" spans="1:3" x14ac:dyDescent="0.3">
      <c r="A1313" s="335">
        <v>41113</v>
      </c>
      <c r="B1313">
        <v>18.408045000000001</v>
      </c>
      <c r="C1313" s="334">
        <f t="shared" si="20"/>
        <v>-6.0702896429429588E-2</v>
      </c>
    </row>
    <row r="1314" spans="1:3" x14ac:dyDescent="0.3">
      <c r="A1314" s="335">
        <v>41114</v>
      </c>
      <c r="B1314">
        <v>18.595884000000002</v>
      </c>
      <c r="C1314" s="334">
        <f t="shared" si="20"/>
        <v>1.0204179748582769E-2</v>
      </c>
    </row>
    <row r="1315" spans="1:3" x14ac:dyDescent="0.3">
      <c r="A1315" s="335">
        <v>41115</v>
      </c>
      <c r="B1315">
        <v>18.971556</v>
      </c>
      <c r="C1315" s="334">
        <f t="shared" si="20"/>
        <v>2.0201889837557493E-2</v>
      </c>
    </row>
    <row r="1316" spans="1:3" x14ac:dyDescent="0.3">
      <c r="A1316" s="335">
        <v>41116</v>
      </c>
      <c r="B1316">
        <v>19.409842999999999</v>
      </c>
      <c r="C1316" s="334">
        <f t="shared" si="20"/>
        <v>2.3102322234401805E-2</v>
      </c>
    </row>
    <row r="1317" spans="1:3" x14ac:dyDescent="0.3">
      <c r="A1317" s="335">
        <v>41117</v>
      </c>
      <c r="B1317">
        <v>20.035966999999999</v>
      </c>
      <c r="C1317" s="334">
        <f t="shared" si="20"/>
        <v>3.2258066178072684E-2</v>
      </c>
    </row>
    <row r="1318" spans="1:3" x14ac:dyDescent="0.3">
      <c r="A1318" s="335">
        <v>41120</v>
      </c>
      <c r="B1318">
        <v>20.161193999999998</v>
      </c>
      <c r="C1318" s="334">
        <f t="shared" si="20"/>
        <v>6.2501101144755763E-3</v>
      </c>
    </row>
    <row r="1319" spans="1:3" x14ac:dyDescent="0.3">
      <c r="A1319" s="335">
        <v>41121</v>
      </c>
      <c r="B1319">
        <v>19.472456000000001</v>
      </c>
      <c r="C1319" s="334">
        <f t="shared" si="20"/>
        <v>-3.4161568010307189E-2</v>
      </c>
    </row>
    <row r="1320" spans="1:3" x14ac:dyDescent="0.3">
      <c r="A1320" s="335">
        <v>41122</v>
      </c>
      <c r="B1320">
        <v>18.971556</v>
      </c>
      <c r="C1320" s="334">
        <f t="shared" si="20"/>
        <v>-2.5723514280889963E-2</v>
      </c>
    </row>
    <row r="1321" spans="1:3" x14ac:dyDescent="0.3">
      <c r="A1321" s="335">
        <v>41123</v>
      </c>
      <c r="B1321">
        <v>18.783719999999999</v>
      </c>
      <c r="C1321" s="334">
        <f t="shared" si="20"/>
        <v>-9.9009274726859931E-3</v>
      </c>
    </row>
    <row r="1322" spans="1:3" x14ac:dyDescent="0.3">
      <c r="A1322" s="335">
        <v>41124</v>
      </c>
      <c r="B1322">
        <v>19.722904</v>
      </c>
      <c r="C1322" s="334">
        <f t="shared" si="20"/>
        <v>4.9999893524818352E-2</v>
      </c>
    </row>
    <row r="1323" spans="1:3" x14ac:dyDescent="0.3">
      <c r="A1323" s="335">
        <v>41127</v>
      </c>
      <c r="B1323">
        <v>19.535069</v>
      </c>
      <c r="C1323" s="334">
        <f t="shared" si="20"/>
        <v>-9.523698944131135E-3</v>
      </c>
    </row>
    <row r="1324" spans="1:3" x14ac:dyDescent="0.3">
      <c r="A1324" s="335">
        <v>41128</v>
      </c>
      <c r="B1324">
        <v>19.472456000000001</v>
      </c>
      <c r="C1324" s="334">
        <f t="shared" si="20"/>
        <v>-3.2051588863084598E-3</v>
      </c>
    </row>
    <row r="1325" spans="1:3" x14ac:dyDescent="0.3">
      <c r="A1325" s="335">
        <v>41129</v>
      </c>
      <c r="B1325">
        <v>19.159393000000001</v>
      </c>
      <c r="C1325" s="334">
        <f t="shared" si="20"/>
        <v>-1.6077222102851309E-2</v>
      </c>
    </row>
    <row r="1326" spans="1:3" x14ac:dyDescent="0.3">
      <c r="A1326" s="335">
        <v>41130</v>
      </c>
      <c r="B1326">
        <v>19.472456000000001</v>
      </c>
      <c r="C1326" s="334">
        <f t="shared" si="20"/>
        <v>1.633992266874006E-2</v>
      </c>
    </row>
    <row r="1327" spans="1:3" x14ac:dyDescent="0.3">
      <c r="A1327" s="335">
        <v>41131</v>
      </c>
      <c r="B1327">
        <v>19.910741999999999</v>
      </c>
      <c r="C1327" s="334">
        <f t="shared" si="20"/>
        <v>2.2507997963893099E-2</v>
      </c>
    </row>
    <row r="1328" spans="1:3" x14ac:dyDescent="0.3">
      <c r="A1328" s="335">
        <v>41134</v>
      </c>
      <c r="B1328">
        <v>19.848133000000001</v>
      </c>
      <c r="C1328" s="334">
        <f t="shared" si="20"/>
        <v>-3.1444835154811591E-3</v>
      </c>
    </row>
    <row r="1329" spans="1:3" x14ac:dyDescent="0.3">
      <c r="A1329" s="335">
        <v>41135</v>
      </c>
      <c r="B1329">
        <v>19.722904</v>
      </c>
      <c r="C1329" s="334">
        <f t="shared" si="20"/>
        <v>-6.309359172472339E-3</v>
      </c>
    </row>
    <row r="1330" spans="1:3" x14ac:dyDescent="0.3">
      <c r="A1330" s="335">
        <v>41136</v>
      </c>
      <c r="B1330">
        <v>20.59948</v>
      </c>
      <c r="C1330" s="334">
        <f t="shared" si="20"/>
        <v>4.4444570637265181E-2</v>
      </c>
    </row>
    <row r="1331" spans="1:3" x14ac:dyDescent="0.3">
      <c r="A1331" s="335">
        <v>41137</v>
      </c>
      <c r="B1331">
        <v>20.59948</v>
      </c>
      <c r="C1331" s="334">
        <f t="shared" si="20"/>
        <v>0</v>
      </c>
    </row>
    <row r="1332" spans="1:3" x14ac:dyDescent="0.3">
      <c r="A1332" s="335">
        <v>41138</v>
      </c>
      <c r="B1332">
        <v>20.975155000000001</v>
      </c>
      <c r="C1332" s="334">
        <f t="shared" si="20"/>
        <v>1.8237110839691151E-2</v>
      </c>
    </row>
    <row r="1333" spans="1:3" x14ac:dyDescent="0.3">
      <c r="A1333" s="335">
        <v>41141</v>
      </c>
      <c r="B1333">
        <v>20.035966999999999</v>
      </c>
      <c r="C1333" s="334">
        <f t="shared" si="20"/>
        <v>-4.4776212619167838E-2</v>
      </c>
    </row>
    <row r="1334" spans="1:3" x14ac:dyDescent="0.3">
      <c r="A1334" s="335">
        <v>41142</v>
      </c>
      <c r="B1334">
        <v>20.411642000000001</v>
      </c>
      <c r="C1334" s="334">
        <f t="shared" si="20"/>
        <v>1.8750030881963475E-2</v>
      </c>
    </row>
    <row r="1335" spans="1:3" x14ac:dyDescent="0.3">
      <c r="A1335" s="335">
        <v>41143</v>
      </c>
      <c r="B1335">
        <v>20.849930000000001</v>
      </c>
      <c r="C1335" s="334">
        <f t="shared" si="20"/>
        <v>2.1472451848802757E-2</v>
      </c>
    </row>
    <row r="1336" spans="1:3" x14ac:dyDescent="0.3">
      <c r="A1336" s="335">
        <v>41144</v>
      </c>
      <c r="B1336">
        <v>20.662089999999999</v>
      </c>
      <c r="C1336" s="334">
        <f t="shared" si="20"/>
        <v>-9.0091429563553139E-3</v>
      </c>
    </row>
    <row r="1337" spans="1:3" x14ac:dyDescent="0.3">
      <c r="A1337" s="335">
        <v>41145</v>
      </c>
      <c r="B1337">
        <v>21.538664000000001</v>
      </c>
      <c r="C1337" s="334">
        <f t="shared" si="20"/>
        <v>4.2424265889849551E-2</v>
      </c>
    </row>
    <row r="1338" spans="1:3" x14ac:dyDescent="0.3">
      <c r="A1338" s="335">
        <v>41148</v>
      </c>
      <c r="B1338">
        <v>22.227402000000001</v>
      </c>
      <c r="C1338" s="334">
        <f t="shared" si="20"/>
        <v>3.1976820846455506E-2</v>
      </c>
    </row>
    <row r="1339" spans="1:3" x14ac:dyDescent="0.3">
      <c r="A1339" s="335">
        <v>41149</v>
      </c>
      <c r="B1339">
        <v>21.601275999999999</v>
      </c>
      <c r="C1339" s="334">
        <f t="shared" si="20"/>
        <v>-2.8169104063533956E-2</v>
      </c>
    </row>
    <row r="1340" spans="1:3" x14ac:dyDescent="0.3">
      <c r="A1340" s="335">
        <v>41150</v>
      </c>
      <c r="B1340">
        <v>22.227402000000001</v>
      </c>
      <c r="C1340" s="334">
        <f t="shared" si="20"/>
        <v>2.8985602517184766E-2</v>
      </c>
    </row>
    <row r="1341" spans="1:3" x14ac:dyDescent="0.3">
      <c r="A1341" s="335">
        <v>41151</v>
      </c>
      <c r="B1341">
        <v>23.041360999999998</v>
      </c>
      <c r="C1341" s="334">
        <f t="shared" si="20"/>
        <v>3.6619619332929551E-2</v>
      </c>
    </row>
    <row r="1342" spans="1:3" x14ac:dyDescent="0.3">
      <c r="A1342" s="335">
        <v>41152</v>
      </c>
      <c r="B1342">
        <v>22.665687999999999</v>
      </c>
      <c r="C1342" s="334">
        <f t="shared" si="20"/>
        <v>-1.6304288622534018E-2</v>
      </c>
    </row>
    <row r="1343" spans="1:3" x14ac:dyDescent="0.3">
      <c r="A1343" s="335">
        <v>41155</v>
      </c>
      <c r="B1343">
        <v>22.540464</v>
      </c>
      <c r="C1343" s="334">
        <f t="shared" si="20"/>
        <v>-5.5248267778149661E-3</v>
      </c>
    </row>
    <row r="1344" spans="1:3" x14ac:dyDescent="0.3">
      <c r="A1344" s="335">
        <v>41156</v>
      </c>
      <c r="B1344">
        <v>22.102174999999999</v>
      </c>
      <c r="C1344" s="334">
        <f t="shared" si="20"/>
        <v>-1.9444542046694383E-2</v>
      </c>
    </row>
    <row r="1345" spans="1:3" x14ac:dyDescent="0.3">
      <c r="A1345" s="335">
        <v>41157</v>
      </c>
      <c r="B1345">
        <v>22.039566000000001</v>
      </c>
      <c r="C1345" s="334">
        <f t="shared" si="20"/>
        <v>-2.8327076407637874E-3</v>
      </c>
    </row>
    <row r="1346" spans="1:3" x14ac:dyDescent="0.3">
      <c r="A1346" s="335">
        <v>41158</v>
      </c>
      <c r="B1346">
        <v>22.916134</v>
      </c>
      <c r="C1346" s="334">
        <f t="shared" si="20"/>
        <v>3.9772471018712389E-2</v>
      </c>
    </row>
    <row r="1347" spans="1:3" x14ac:dyDescent="0.3">
      <c r="A1347" s="335">
        <v>41159</v>
      </c>
      <c r="B1347">
        <v>22.978750000000002</v>
      </c>
      <c r="C1347" s="334">
        <f t="shared" si="20"/>
        <v>2.7323980563214549E-3</v>
      </c>
    </row>
    <row r="1348" spans="1:3" x14ac:dyDescent="0.3">
      <c r="A1348" s="335">
        <v>41162</v>
      </c>
      <c r="B1348">
        <v>22.853522999999999</v>
      </c>
      <c r="C1348" s="334">
        <f t="shared" si="20"/>
        <v>-5.4496872110102778E-3</v>
      </c>
    </row>
    <row r="1349" spans="1:3" x14ac:dyDescent="0.3">
      <c r="A1349" s="335">
        <v>41163</v>
      </c>
      <c r="B1349">
        <v>22.665687999999999</v>
      </c>
      <c r="C1349" s="334">
        <f t="shared" si="20"/>
        <v>-8.2190828958843571E-3</v>
      </c>
    </row>
    <row r="1350" spans="1:3" x14ac:dyDescent="0.3">
      <c r="A1350" s="335">
        <v>41164</v>
      </c>
      <c r="B1350">
        <v>22.227402000000001</v>
      </c>
      <c r="C1350" s="334">
        <f t="shared" ref="C1350:C1413" si="21">(B1350-B1349)/B1349</f>
        <v>-1.9336981961456362E-2</v>
      </c>
    </row>
    <row r="1351" spans="1:3" x14ac:dyDescent="0.3">
      <c r="A1351" s="335">
        <v>41165</v>
      </c>
      <c r="B1351">
        <v>21.413444999999999</v>
      </c>
      <c r="C1351" s="334">
        <f t="shared" si="21"/>
        <v>-3.6619529353902988E-2</v>
      </c>
    </row>
    <row r="1352" spans="1:3" x14ac:dyDescent="0.3">
      <c r="A1352" s="335">
        <v>41166</v>
      </c>
      <c r="B1352">
        <v>22.540464</v>
      </c>
      <c r="C1352" s="334">
        <f t="shared" si="21"/>
        <v>5.2631372485837782E-2</v>
      </c>
    </row>
    <row r="1353" spans="1:3" x14ac:dyDescent="0.3">
      <c r="A1353" s="335">
        <v>41169</v>
      </c>
      <c r="B1353">
        <v>22.290009999999999</v>
      </c>
      <c r="C1353" s="334">
        <f t="shared" si="21"/>
        <v>-1.1111306315610952E-2</v>
      </c>
    </row>
    <row r="1354" spans="1:3" x14ac:dyDescent="0.3">
      <c r="A1354" s="335">
        <v>41170</v>
      </c>
      <c r="B1354">
        <v>22.47785</v>
      </c>
      <c r="C1354" s="334">
        <f t="shared" si="21"/>
        <v>8.427093572412097E-3</v>
      </c>
    </row>
    <row r="1355" spans="1:3" x14ac:dyDescent="0.3">
      <c r="A1355" s="335">
        <v>41171</v>
      </c>
      <c r="B1355">
        <v>22.227402000000001</v>
      </c>
      <c r="C1355" s="334">
        <f t="shared" si="21"/>
        <v>-1.114199089325708E-2</v>
      </c>
    </row>
    <row r="1356" spans="1:3" x14ac:dyDescent="0.3">
      <c r="A1356" s="335">
        <v>41172</v>
      </c>
      <c r="B1356">
        <v>21.914337</v>
      </c>
      <c r="C1356" s="334">
        <f t="shared" si="21"/>
        <v>-1.408464201079378E-2</v>
      </c>
    </row>
    <row r="1357" spans="1:3" x14ac:dyDescent="0.3">
      <c r="A1357" s="335">
        <v>41173</v>
      </c>
      <c r="B1357">
        <v>20.975155000000001</v>
      </c>
      <c r="C1357" s="334">
        <f t="shared" si="21"/>
        <v>-4.2856966195235512E-2</v>
      </c>
    </row>
    <row r="1358" spans="1:3" x14ac:dyDescent="0.3">
      <c r="A1358" s="335">
        <v>41176</v>
      </c>
      <c r="B1358">
        <v>21.288214</v>
      </c>
      <c r="C1358" s="334">
        <f t="shared" si="21"/>
        <v>1.4925229396397741E-2</v>
      </c>
    </row>
    <row r="1359" spans="1:3" x14ac:dyDescent="0.3">
      <c r="A1359" s="335">
        <v>41177</v>
      </c>
      <c r="B1359">
        <v>21.914337</v>
      </c>
      <c r="C1359" s="334">
        <f t="shared" si="21"/>
        <v>2.9411720494730079E-2</v>
      </c>
    </row>
    <row r="1360" spans="1:3" x14ac:dyDescent="0.3">
      <c r="A1360" s="335">
        <v>41178</v>
      </c>
      <c r="B1360">
        <v>21.789111999999999</v>
      </c>
      <c r="C1360" s="334">
        <f t="shared" si="21"/>
        <v>-5.7142956229978741E-3</v>
      </c>
    </row>
    <row r="1361" spans="1:3" x14ac:dyDescent="0.3">
      <c r="A1361" s="335">
        <v>41179</v>
      </c>
      <c r="B1361">
        <v>21.538664000000001</v>
      </c>
      <c r="C1361" s="334">
        <f t="shared" si="21"/>
        <v>-1.1494181130465467E-2</v>
      </c>
    </row>
    <row r="1362" spans="1:3" x14ac:dyDescent="0.3">
      <c r="A1362" s="335">
        <v>41180</v>
      </c>
      <c r="B1362">
        <v>21.288214</v>
      </c>
      <c r="C1362" s="334">
        <f t="shared" si="21"/>
        <v>-1.1627926411777477E-2</v>
      </c>
    </row>
    <row r="1363" spans="1:3" x14ac:dyDescent="0.3">
      <c r="A1363" s="335">
        <v>41183</v>
      </c>
      <c r="B1363">
        <v>21.914337</v>
      </c>
      <c r="C1363" s="334">
        <f t="shared" si="21"/>
        <v>2.9411720494730079E-2</v>
      </c>
    </row>
    <row r="1364" spans="1:3" x14ac:dyDescent="0.3">
      <c r="A1364" s="335">
        <v>41184</v>
      </c>
      <c r="B1364">
        <v>22.853522999999999</v>
      </c>
      <c r="C1364" s="334">
        <f t="shared" si="21"/>
        <v>4.2857148724143444E-2</v>
      </c>
    </row>
    <row r="1365" spans="1:3" x14ac:dyDescent="0.3">
      <c r="A1365" s="335">
        <v>41185</v>
      </c>
      <c r="B1365">
        <v>22.665687999999999</v>
      </c>
      <c r="C1365" s="334">
        <f t="shared" si="21"/>
        <v>-8.2190828958843571E-3</v>
      </c>
    </row>
    <row r="1366" spans="1:3" x14ac:dyDescent="0.3">
      <c r="A1366" s="335">
        <v>41186</v>
      </c>
      <c r="B1366">
        <v>22.853522999999999</v>
      </c>
      <c r="C1366" s="334">
        <f t="shared" si="21"/>
        <v>8.2871960471704968E-3</v>
      </c>
    </row>
    <row r="1367" spans="1:3" x14ac:dyDescent="0.3">
      <c r="A1367" s="335">
        <v>41187</v>
      </c>
      <c r="B1367">
        <v>22.853522999999999</v>
      </c>
      <c r="C1367" s="334">
        <f t="shared" si="21"/>
        <v>0</v>
      </c>
    </row>
    <row r="1368" spans="1:3" x14ac:dyDescent="0.3">
      <c r="A1368" s="335">
        <v>41190</v>
      </c>
      <c r="B1368">
        <v>22.540464</v>
      </c>
      <c r="C1368" s="334">
        <f t="shared" si="21"/>
        <v>-1.3698500664427061E-2</v>
      </c>
    </row>
    <row r="1369" spans="1:3" x14ac:dyDescent="0.3">
      <c r="A1369" s="335">
        <v>41191</v>
      </c>
      <c r="B1369">
        <v>22.47785</v>
      </c>
      <c r="C1369" s="334">
        <f t="shared" si="21"/>
        <v>-2.777848761232242E-3</v>
      </c>
    </row>
    <row r="1370" spans="1:3" x14ac:dyDescent="0.3">
      <c r="A1370" s="335">
        <v>41192</v>
      </c>
      <c r="B1370">
        <v>22.603075</v>
      </c>
      <c r="C1370" s="334">
        <f t="shared" si="21"/>
        <v>5.5710399348692322E-3</v>
      </c>
    </row>
    <row r="1371" spans="1:3" x14ac:dyDescent="0.3">
      <c r="A1371" s="335">
        <v>41193</v>
      </c>
      <c r="B1371">
        <v>22.603075</v>
      </c>
      <c r="C1371" s="334">
        <f t="shared" si="21"/>
        <v>0</v>
      </c>
    </row>
    <row r="1372" spans="1:3" x14ac:dyDescent="0.3">
      <c r="A1372" s="335">
        <v>41194</v>
      </c>
      <c r="B1372">
        <v>22.603075</v>
      </c>
      <c r="C1372" s="334">
        <f t="shared" si="21"/>
        <v>0</v>
      </c>
    </row>
    <row r="1373" spans="1:3" x14ac:dyDescent="0.3">
      <c r="A1373" s="335">
        <v>41197</v>
      </c>
      <c r="B1373">
        <v>22.665687999999999</v>
      </c>
      <c r="C1373" s="334">
        <f t="shared" si="21"/>
        <v>2.7701098191285443E-3</v>
      </c>
    </row>
    <row r="1374" spans="1:3" x14ac:dyDescent="0.3">
      <c r="A1374" s="335">
        <v>41198</v>
      </c>
      <c r="B1374">
        <v>23.103977</v>
      </c>
      <c r="C1374" s="334">
        <f t="shared" si="21"/>
        <v>1.9337114320112456E-2</v>
      </c>
    </row>
    <row r="1375" spans="1:3" x14ac:dyDescent="0.3">
      <c r="A1375" s="335">
        <v>41199</v>
      </c>
      <c r="B1375">
        <v>22.790914999999998</v>
      </c>
      <c r="C1375" s="334">
        <f t="shared" si="21"/>
        <v>-1.3550134680276134E-2</v>
      </c>
    </row>
    <row r="1376" spans="1:3" x14ac:dyDescent="0.3">
      <c r="A1376" s="335">
        <v>41200</v>
      </c>
      <c r="B1376">
        <v>22.665687999999999</v>
      </c>
      <c r="C1376" s="334">
        <f t="shared" si="21"/>
        <v>-5.494601686680806E-3</v>
      </c>
    </row>
    <row r="1377" spans="1:3" x14ac:dyDescent="0.3">
      <c r="A1377" s="335">
        <v>41201</v>
      </c>
      <c r="B1377">
        <v>22.665687999999999</v>
      </c>
      <c r="C1377" s="334">
        <f t="shared" si="21"/>
        <v>0</v>
      </c>
    </row>
    <row r="1378" spans="1:3" x14ac:dyDescent="0.3">
      <c r="A1378" s="335">
        <v>41204</v>
      </c>
      <c r="B1378">
        <v>22.47785</v>
      </c>
      <c r="C1378" s="334">
        <f t="shared" si="21"/>
        <v>-8.2873284058264315E-3</v>
      </c>
    </row>
    <row r="1379" spans="1:3" x14ac:dyDescent="0.3">
      <c r="A1379" s="335">
        <v>41205</v>
      </c>
      <c r="B1379">
        <v>21.601275999999999</v>
      </c>
      <c r="C1379" s="334">
        <f t="shared" si="21"/>
        <v>-3.8997235055843932E-2</v>
      </c>
    </row>
    <row r="1380" spans="1:3" x14ac:dyDescent="0.3">
      <c r="A1380" s="335">
        <v>41206</v>
      </c>
      <c r="B1380">
        <v>21.976952000000001</v>
      </c>
      <c r="C1380" s="334">
        <f t="shared" si="21"/>
        <v>1.7391380027735499E-2</v>
      </c>
    </row>
    <row r="1381" spans="1:3" x14ac:dyDescent="0.3">
      <c r="A1381" s="335">
        <v>41207</v>
      </c>
      <c r="B1381">
        <v>21.601275999999999</v>
      </c>
      <c r="C1381" s="334">
        <f t="shared" si="21"/>
        <v>-1.7094090208687816E-2</v>
      </c>
    </row>
    <row r="1382" spans="1:3" x14ac:dyDescent="0.3">
      <c r="A1382" s="335">
        <v>41208</v>
      </c>
      <c r="B1382">
        <v>21.914337</v>
      </c>
      <c r="C1382" s="334">
        <f t="shared" si="21"/>
        <v>1.4492708671469276E-2</v>
      </c>
    </row>
    <row r="1383" spans="1:3" x14ac:dyDescent="0.3">
      <c r="A1383" s="335">
        <v>41211</v>
      </c>
      <c r="B1383">
        <v>22.227402000000001</v>
      </c>
      <c r="C1383" s="334">
        <f t="shared" si="21"/>
        <v>1.428585313806216E-2</v>
      </c>
    </row>
    <row r="1384" spans="1:3" x14ac:dyDescent="0.3">
      <c r="A1384" s="335">
        <v>41212</v>
      </c>
      <c r="B1384">
        <v>22.164784999999998</v>
      </c>
      <c r="C1384" s="334">
        <f t="shared" si="21"/>
        <v>-2.8171083602124545E-3</v>
      </c>
    </row>
    <row r="1385" spans="1:3" x14ac:dyDescent="0.3">
      <c r="A1385" s="335">
        <v>41213</v>
      </c>
      <c r="B1385">
        <v>22.164784999999998</v>
      </c>
      <c r="C1385" s="334">
        <f t="shared" si="21"/>
        <v>0</v>
      </c>
    </row>
    <row r="1386" spans="1:3" x14ac:dyDescent="0.3">
      <c r="A1386" s="335">
        <v>41214</v>
      </c>
      <c r="B1386">
        <v>22.164784999999998</v>
      </c>
      <c r="C1386" s="334">
        <f t="shared" si="21"/>
        <v>0</v>
      </c>
    </row>
    <row r="1387" spans="1:3" x14ac:dyDescent="0.3">
      <c r="A1387" s="335">
        <v>41215</v>
      </c>
      <c r="B1387">
        <v>22.665687999999999</v>
      </c>
      <c r="C1387" s="334">
        <f t="shared" si="21"/>
        <v>2.2599046189710436E-2</v>
      </c>
    </row>
    <row r="1388" spans="1:3" x14ac:dyDescent="0.3">
      <c r="A1388" s="335">
        <v>41218</v>
      </c>
      <c r="B1388">
        <v>22.415237000000001</v>
      </c>
      <c r="C1388" s="334">
        <f t="shared" si="21"/>
        <v>-1.1049785914285867E-2</v>
      </c>
    </row>
    <row r="1389" spans="1:3" x14ac:dyDescent="0.3">
      <c r="A1389" s="335">
        <v>41219</v>
      </c>
      <c r="B1389">
        <v>22.853522999999999</v>
      </c>
      <c r="C1389" s="334">
        <f t="shared" si="21"/>
        <v>1.9553038854775346E-2</v>
      </c>
    </row>
    <row r="1390" spans="1:3" x14ac:dyDescent="0.3">
      <c r="A1390" s="335">
        <v>41220</v>
      </c>
      <c r="B1390">
        <v>24.043158999999999</v>
      </c>
      <c r="C1390" s="334">
        <f t="shared" si="21"/>
        <v>5.2054818856593806E-2</v>
      </c>
    </row>
    <row r="1391" spans="1:3" x14ac:dyDescent="0.3">
      <c r="A1391" s="335">
        <v>41221</v>
      </c>
      <c r="B1391">
        <v>24.105774</v>
      </c>
      <c r="C1391" s="334">
        <f t="shared" si="21"/>
        <v>2.6042750871464512E-3</v>
      </c>
    </row>
    <row r="1392" spans="1:3" x14ac:dyDescent="0.3">
      <c r="A1392" s="335">
        <v>41222</v>
      </c>
      <c r="B1392">
        <v>24.293607999999999</v>
      </c>
      <c r="C1392" s="334">
        <f t="shared" si="21"/>
        <v>7.7920750439292559E-3</v>
      </c>
    </row>
    <row r="1393" spans="1:3" x14ac:dyDescent="0.3">
      <c r="A1393" s="335">
        <v>41225</v>
      </c>
      <c r="B1393">
        <v>24.418835000000001</v>
      </c>
      <c r="C1393" s="334">
        <f t="shared" si="21"/>
        <v>5.1547304130371424E-3</v>
      </c>
    </row>
    <row r="1394" spans="1:3" x14ac:dyDescent="0.3">
      <c r="A1394" s="335">
        <v>41226</v>
      </c>
      <c r="B1394">
        <v>23.604876000000001</v>
      </c>
      <c r="C1394" s="334">
        <f t="shared" si="21"/>
        <v>-3.3333244604011637E-2</v>
      </c>
    </row>
    <row r="1395" spans="1:3" x14ac:dyDescent="0.3">
      <c r="A1395" s="335">
        <v>41227</v>
      </c>
      <c r="B1395">
        <v>23.792711000000001</v>
      </c>
      <c r="C1395" s="334">
        <f t="shared" si="21"/>
        <v>7.9574660760768131E-3</v>
      </c>
    </row>
    <row r="1396" spans="1:3" x14ac:dyDescent="0.3">
      <c r="A1396" s="335">
        <v>41228</v>
      </c>
      <c r="B1396">
        <v>23.229198</v>
      </c>
      <c r="C1396" s="334">
        <f t="shared" si="21"/>
        <v>-2.368427036330582E-2</v>
      </c>
    </row>
    <row r="1397" spans="1:3" x14ac:dyDescent="0.3">
      <c r="A1397" s="335">
        <v>41229</v>
      </c>
      <c r="B1397">
        <v>24.105774</v>
      </c>
      <c r="C1397" s="334">
        <f t="shared" si="21"/>
        <v>3.7735956273651811E-2</v>
      </c>
    </row>
    <row r="1398" spans="1:3" x14ac:dyDescent="0.3">
      <c r="A1398" s="335">
        <v>41232</v>
      </c>
      <c r="B1398">
        <v>23.229198</v>
      </c>
      <c r="C1398" s="334">
        <f t="shared" si="21"/>
        <v>-3.6363735924845229E-2</v>
      </c>
    </row>
    <row r="1399" spans="1:3" x14ac:dyDescent="0.3">
      <c r="A1399" s="335">
        <v>41233</v>
      </c>
      <c r="B1399">
        <v>23.166588000000001</v>
      </c>
      <c r="C1399" s="334">
        <f t="shared" si="21"/>
        <v>-2.6953147499969386E-3</v>
      </c>
    </row>
    <row r="1400" spans="1:3" x14ac:dyDescent="0.3">
      <c r="A1400" s="335">
        <v>41234</v>
      </c>
      <c r="B1400">
        <v>24.105774</v>
      </c>
      <c r="C1400" s="334">
        <f t="shared" si="21"/>
        <v>4.0540540540540515E-2</v>
      </c>
    </row>
    <row r="1401" spans="1:3" x14ac:dyDescent="0.3">
      <c r="A1401" s="335">
        <v>41235</v>
      </c>
      <c r="B1401">
        <v>25.420631</v>
      </c>
      <c r="C1401" s="334">
        <f t="shared" si="21"/>
        <v>5.4545313500408657E-2</v>
      </c>
    </row>
    <row r="1402" spans="1:3" x14ac:dyDescent="0.3">
      <c r="A1402" s="335">
        <v>41236</v>
      </c>
      <c r="B1402">
        <v>24.731897</v>
      </c>
      <c r="C1402" s="334">
        <f t="shared" si="21"/>
        <v>-2.7093505271367977E-2</v>
      </c>
    </row>
    <row r="1403" spans="1:3" x14ac:dyDescent="0.3">
      <c r="A1403" s="335">
        <v>41239</v>
      </c>
      <c r="B1403">
        <v>24.731897</v>
      </c>
      <c r="C1403" s="334">
        <f t="shared" si="21"/>
        <v>0</v>
      </c>
    </row>
    <row r="1404" spans="1:3" x14ac:dyDescent="0.3">
      <c r="A1404" s="335">
        <v>41240</v>
      </c>
      <c r="B1404">
        <v>24.669287000000001</v>
      </c>
      <c r="C1404" s="334">
        <f t="shared" si="21"/>
        <v>-2.531548631307958E-3</v>
      </c>
    </row>
    <row r="1405" spans="1:3" x14ac:dyDescent="0.3">
      <c r="A1405" s="335">
        <v>41241</v>
      </c>
      <c r="B1405">
        <v>25.358018999999999</v>
      </c>
      <c r="C1405" s="334">
        <f t="shared" si="21"/>
        <v>2.7918601782045752E-2</v>
      </c>
    </row>
    <row r="1406" spans="1:3" x14ac:dyDescent="0.3">
      <c r="A1406" s="335">
        <v>41242</v>
      </c>
      <c r="B1406">
        <v>25.107569000000002</v>
      </c>
      <c r="C1406" s="334">
        <f t="shared" si="21"/>
        <v>-9.8765601524313552E-3</v>
      </c>
    </row>
    <row r="1407" spans="1:3" x14ac:dyDescent="0.3">
      <c r="A1407" s="335">
        <v>41243</v>
      </c>
      <c r="B1407">
        <v>25.671082999999999</v>
      </c>
      <c r="C1407" s="334">
        <f t="shared" si="21"/>
        <v>2.2443988902310606E-2</v>
      </c>
    </row>
    <row r="1408" spans="1:3" x14ac:dyDescent="0.3">
      <c r="A1408" s="335">
        <v>41246</v>
      </c>
      <c r="B1408">
        <v>24.544058</v>
      </c>
      <c r="C1408" s="334">
        <f t="shared" si="21"/>
        <v>-4.3902510852385924E-2</v>
      </c>
    </row>
    <row r="1409" spans="1:3" x14ac:dyDescent="0.3">
      <c r="A1409" s="335">
        <v>41247</v>
      </c>
      <c r="B1409">
        <v>25.671082999999999</v>
      </c>
      <c r="C1409" s="334">
        <f t="shared" si="21"/>
        <v>4.5918445922838017E-2</v>
      </c>
    </row>
    <row r="1410" spans="1:3" x14ac:dyDescent="0.3">
      <c r="A1410" s="335">
        <v>41248</v>
      </c>
      <c r="B1410">
        <v>25.420631</v>
      </c>
      <c r="C1410" s="334">
        <f t="shared" si="21"/>
        <v>-9.7561914314249713E-3</v>
      </c>
    </row>
    <row r="1411" spans="1:3" x14ac:dyDescent="0.3">
      <c r="A1411" s="335">
        <v>41249</v>
      </c>
      <c r="B1411">
        <v>25.671082999999999</v>
      </c>
      <c r="C1411" s="334">
        <f t="shared" si="21"/>
        <v>9.8523124780025804E-3</v>
      </c>
    </row>
    <row r="1412" spans="1:3" x14ac:dyDescent="0.3">
      <c r="A1412" s="335">
        <v>41250</v>
      </c>
      <c r="B1412">
        <v>26.297207</v>
      </c>
      <c r="C1412" s="334">
        <f t="shared" si="21"/>
        <v>2.4390244852544818E-2</v>
      </c>
    </row>
    <row r="1413" spans="1:3" x14ac:dyDescent="0.3">
      <c r="A1413" s="335">
        <v>41253</v>
      </c>
      <c r="B1413">
        <v>26.297207</v>
      </c>
      <c r="C1413" s="334">
        <f t="shared" si="21"/>
        <v>0</v>
      </c>
    </row>
    <row r="1414" spans="1:3" x14ac:dyDescent="0.3">
      <c r="A1414" s="335">
        <v>41254</v>
      </c>
      <c r="B1414">
        <v>26.109369000000001</v>
      </c>
      <c r="C1414" s="334">
        <f t="shared" ref="C1414:C1477" si="22">(B1414-B1413)/B1413</f>
        <v>-7.1428878359591297E-3</v>
      </c>
    </row>
    <row r="1415" spans="1:3" x14ac:dyDescent="0.3">
      <c r="A1415" s="335">
        <v>41255</v>
      </c>
      <c r="B1415">
        <v>26.672875999999999</v>
      </c>
      <c r="C1415" s="334">
        <f t="shared" si="22"/>
        <v>2.1582559118912364E-2</v>
      </c>
    </row>
    <row r="1416" spans="1:3" x14ac:dyDescent="0.3">
      <c r="A1416" s="335">
        <v>41256</v>
      </c>
      <c r="B1416">
        <v>25.984144000000001</v>
      </c>
      <c r="C1416" s="334">
        <f t="shared" si="22"/>
        <v>-2.5821437478283114E-2</v>
      </c>
    </row>
    <row r="1417" spans="1:3" x14ac:dyDescent="0.3">
      <c r="A1417" s="335">
        <v>41257</v>
      </c>
      <c r="B1417">
        <v>26.923328000000001</v>
      </c>
      <c r="C1417" s="334">
        <f t="shared" si="22"/>
        <v>3.6144504125285054E-2</v>
      </c>
    </row>
    <row r="1418" spans="1:3" x14ac:dyDescent="0.3">
      <c r="A1418" s="335">
        <v>41260</v>
      </c>
      <c r="B1418">
        <v>26.923328000000001</v>
      </c>
      <c r="C1418" s="334">
        <f t="shared" si="22"/>
        <v>0</v>
      </c>
    </row>
    <row r="1419" spans="1:3" x14ac:dyDescent="0.3">
      <c r="A1419" s="335">
        <v>41261</v>
      </c>
      <c r="B1419">
        <v>27.361623999999999</v>
      </c>
      <c r="C1419" s="334">
        <f t="shared" si="22"/>
        <v>1.6279413897122879E-2</v>
      </c>
    </row>
    <row r="1420" spans="1:3" x14ac:dyDescent="0.3">
      <c r="A1420" s="335">
        <v>41262</v>
      </c>
      <c r="B1420">
        <v>28.175578999999999</v>
      </c>
      <c r="C1420" s="334">
        <f t="shared" si="22"/>
        <v>2.9748051504545198E-2</v>
      </c>
    </row>
    <row r="1421" spans="1:3" x14ac:dyDescent="0.3">
      <c r="A1421" s="335">
        <v>41263</v>
      </c>
      <c r="B1421">
        <v>27.862511000000001</v>
      </c>
      <c r="C1421" s="334">
        <f t="shared" si="22"/>
        <v>-1.1111324455834525E-2</v>
      </c>
    </row>
    <row r="1422" spans="1:3" x14ac:dyDescent="0.3">
      <c r="A1422" s="335">
        <v>41264</v>
      </c>
      <c r="B1422">
        <v>28.050350000000002</v>
      </c>
      <c r="C1422" s="334">
        <f t="shared" si="22"/>
        <v>6.7416393303532584E-3</v>
      </c>
    </row>
    <row r="1423" spans="1:3" x14ac:dyDescent="0.3">
      <c r="A1423" s="335">
        <v>41270</v>
      </c>
      <c r="B1423">
        <v>28.175578999999999</v>
      </c>
      <c r="C1423" s="334">
        <f t="shared" si="22"/>
        <v>4.4644362726310857E-3</v>
      </c>
    </row>
    <row r="1424" spans="1:3" x14ac:dyDescent="0.3">
      <c r="A1424" s="335">
        <v>41271</v>
      </c>
      <c r="B1424">
        <v>27.987741</v>
      </c>
      <c r="C1424" s="334">
        <f t="shared" si="22"/>
        <v>-6.6666952966609591E-3</v>
      </c>
    </row>
    <row r="1425" spans="1:3" x14ac:dyDescent="0.3">
      <c r="A1425" s="335">
        <v>41276</v>
      </c>
      <c r="B1425">
        <v>28.801701999999999</v>
      </c>
      <c r="C1425" s="334">
        <f t="shared" si="22"/>
        <v>2.9082768773656977E-2</v>
      </c>
    </row>
    <row r="1426" spans="1:3" x14ac:dyDescent="0.3">
      <c r="A1426" s="335">
        <v>41277</v>
      </c>
      <c r="B1426">
        <v>28.613865000000001</v>
      </c>
      <c r="C1426" s="334">
        <f t="shared" si="22"/>
        <v>-6.5217326392724385E-3</v>
      </c>
    </row>
    <row r="1427" spans="1:3" x14ac:dyDescent="0.3">
      <c r="A1427" s="335">
        <v>41278</v>
      </c>
      <c r="B1427">
        <v>28.801701999999999</v>
      </c>
      <c r="C1427" s="334">
        <f t="shared" si="22"/>
        <v>6.5645448456543099E-3</v>
      </c>
    </row>
    <row r="1428" spans="1:3" x14ac:dyDescent="0.3">
      <c r="A1428" s="335">
        <v>41281</v>
      </c>
      <c r="B1428">
        <v>28.801701999999999</v>
      </c>
      <c r="C1428" s="334">
        <f t="shared" si="22"/>
        <v>0</v>
      </c>
    </row>
    <row r="1429" spans="1:3" x14ac:dyDescent="0.3">
      <c r="A1429" s="335">
        <v>41282</v>
      </c>
      <c r="B1429">
        <v>28.801701999999999</v>
      </c>
      <c r="C1429" s="334">
        <f t="shared" si="22"/>
        <v>0</v>
      </c>
    </row>
    <row r="1430" spans="1:3" x14ac:dyDescent="0.3">
      <c r="A1430" s="335">
        <v>41283</v>
      </c>
      <c r="B1430">
        <v>28.300802000000001</v>
      </c>
      <c r="C1430" s="334">
        <f t="shared" si="22"/>
        <v>-1.73913333316204E-2</v>
      </c>
    </row>
    <row r="1431" spans="1:3" x14ac:dyDescent="0.3">
      <c r="A1431" s="335">
        <v>41284</v>
      </c>
      <c r="B1431">
        <v>28.926928</v>
      </c>
      <c r="C1431" s="334">
        <f t="shared" si="22"/>
        <v>2.2123966663559543E-2</v>
      </c>
    </row>
    <row r="1432" spans="1:3" x14ac:dyDescent="0.3">
      <c r="A1432" s="335">
        <v>41285</v>
      </c>
      <c r="B1432">
        <v>29.114764999999998</v>
      </c>
      <c r="C1432" s="334">
        <f t="shared" si="22"/>
        <v>6.4934997591171197E-3</v>
      </c>
    </row>
    <row r="1433" spans="1:3" x14ac:dyDescent="0.3">
      <c r="A1433" s="335">
        <v>41288</v>
      </c>
      <c r="B1433">
        <v>29.866112000000001</v>
      </c>
      <c r="C1433" s="334">
        <f t="shared" si="22"/>
        <v>2.5806390674972052E-2</v>
      </c>
    </row>
    <row r="1434" spans="1:3" x14ac:dyDescent="0.3">
      <c r="A1434" s="335">
        <v>41289</v>
      </c>
      <c r="B1434">
        <v>30.116565999999999</v>
      </c>
      <c r="C1434" s="334">
        <f t="shared" si="22"/>
        <v>8.385892345143477E-3</v>
      </c>
    </row>
    <row r="1435" spans="1:3" x14ac:dyDescent="0.3">
      <c r="A1435" s="335">
        <v>41290</v>
      </c>
      <c r="B1435">
        <v>29.866112000000001</v>
      </c>
      <c r="C1435" s="334">
        <f t="shared" si="22"/>
        <v>-8.3161539731985961E-3</v>
      </c>
    </row>
    <row r="1436" spans="1:3" x14ac:dyDescent="0.3">
      <c r="A1436" s="335">
        <v>41291</v>
      </c>
      <c r="B1436">
        <v>30.680077000000001</v>
      </c>
      <c r="C1436" s="334">
        <f t="shared" si="22"/>
        <v>2.7253798552687392E-2</v>
      </c>
    </row>
    <row r="1437" spans="1:3" x14ac:dyDescent="0.3">
      <c r="A1437" s="335">
        <v>41292</v>
      </c>
      <c r="B1437">
        <v>30.617462</v>
      </c>
      <c r="C1437" s="334">
        <f t="shared" si="22"/>
        <v>-2.0409010055613933E-3</v>
      </c>
    </row>
    <row r="1438" spans="1:3" x14ac:dyDescent="0.3">
      <c r="A1438" s="335">
        <v>41295</v>
      </c>
      <c r="B1438">
        <v>31.306196</v>
      </c>
      <c r="C1438" s="334">
        <f t="shared" si="22"/>
        <v>2.2494810314453894E-2</v>
      </c>
    </row>
    <row r="1439" spans="1:3" x14ac:dyDescent="0.3">
      <c r="A1439" s="335">
        <v>41296</v>
      </c>
      <c r="B1439">
        <v>31.118361</v>
      </c>
      <c r="C1439" s="334">
        <f t="shared" si="22"/>
        <v>-5.9999304929924972E-3</v>
      </c>
    </row>
    <row r="1440" spans="1:3" x14ac:dyDescent="0.3">
      <c r="A1440" s="335">
        <v>41297</v>
      </c>
      <c r="B1440">
        <v>31.180971</v>
      </c>
      <c r="C1440" s="334">
        <f t="shared" si="22"/>
        <v>2.0119954261087012E-3</v>
      </c>
    </row>
    <row r="1441" spans="1:3" x14ac:dyDescent="0.3">
      <c r="A1441" s="335">
        <v>41298</v>
      </c>
      <c r="B1441">
        <v>31.180971</v>
      </c>
      <c r="C1441" s="334">
        <f t="shared" si="22"/>
        <v>0</v>
      </c>
    </row>
    <row r="1442" spans="1:3" x14ac:dyDescent="0.3">
      <c r="A1442" s="335">
        <v>41299</v>
      </c>
      <c r="B1442">
        <v>30.367007999999998</v>
      </c>
      <c r="C1442" s="334">
        <f t="shared" si="22"/>
        <v>-2.6104478914399463E-2</v>
      </c>
    </row>
    <row r="1443" spans="1:3" x14ac:dyDescent="0.3">
      <c r="A1443" s="335">
        <v>41302</v>
      </c>
      <c r="B1443">
        <v>31.243589</v>
      </c>
      <c r="C1443" s="334">
        <f t="shared" si="22"/>
        <v>2.8866228770381384E-2</v>
      </c>
    </row>
    <row r="1444" spans="1:3" x14ac:dyDescent="0.3">
      <c r="A1444" s="335">
        <v>41303</v>
      </c>
      <c r="B1444">
        <v>31.775794999999999</v>
      </c>
      <c r="C1444" s="334">
        <f t="shared" si="22"/>
        <v>1.7034086576929387E-2</v>
      </c>
    </row>
    <row r="1445" spans="1:3" x14ac:dyDescent="0.3">
      <c r="A1445" s="335">
        <v>41304</v>
      </c>
      <c r="B1445">
        <v>31.932320000000001</v>
      </c>
      <c r="C1445" s="334">
        <f t="shared" si="22"/>
        <v>4.9259192413597212E-3</v>
      </c>
    </row>
    <row r="1446" spans="1:3" x14ac:dyDescent="0.3">
      <c r="A1446" s="335">
        <v>41305</v>
      </c>
      <c r="B1446">
        <v>32.558449000000003</v>
      </c>
      <c r="C1446" s="334">
        <f t="shared" si="22"/>
        <v>1.9608002174599352E-2</v>
      </c>
    </row>
    <row r="1447" spans="1:3" x14ac:dyDescent="0.3">
      <c r="A1447" s="335">
        <v>41306</v>
      </c>
      <c r="B1447">
        <v>33.184570000000001</v>
      </c>
      <c r="C1447" s="334">
        <f t="shared" si="22"/>
        <v>1.9230676498134099E-2</v>
      </c>
    </row>
    <row r="1448" spans="1:3" x14ac:dyDescent="0.3">
      <c r="A1448" s="335">
        <v>41309</v>
      </c>
      <c r="B1448">
        <v>33.184570000000001</v>
      </c>
      <c r="C1448" s="334">
        <f t="shared" si="22"/>
        <v>0</v>
      </c>
    </row>
    <row r="1449" spans="1:3" x14ac:dyDescent="0.3">
      <c r="A1449" s="335">
        <v>41310</v>
      </c>
      <c r="B1449">
        <v>32.871510000000001</v>
      </c>
      <c r="C1449" s="334">
        <f t="shared" si="22"/>
        <v>-9.4339025637517702E-3</v>
      </c>
    </row>
    <row r="1450" spans="1:3" x14ac:dyDescent="0.3">
      <c r="A1450" s="335">
        <v>41311</v>
      </c>
      <c r="B1450">
        <v>33.497630999999998</v>
      </c>
      <c r="C1450" s="334">
        <f t="shared" si="22"/>
        <v>1.9047527783177521E-2</v>
      </c>
    </row>
    <row r="1451" spans="1:3" x14ac:dyDescent="0.3">
      <c r="A1451" s="335">
        <v>41312</v>
      </c>
      <c r="B1451">
        <v>33.497630999999998</v>
      </c>
      <c r="C1451" s="334">
        <f t="shared" si="22"/>
        <v>0</v>
      </c>
    </row>
    <row r="1452" spans="1:3" x14ac:dyDescent="0.3">
      <c r="A1452" s="335">
        <v>41313</v>
      </c>
      <c r="B1452">
        <v>34.280289000000003</v>
      </c>
      <c r="C1452" s="334">
        <f t="shared" si="22"/>
        <v>2.3364577632370629E-2</v>
      </c>
    </row>
    <row r="1453" spans="1:3" x14ac:dyDescent="0.3">
      <c r="A1453" s="335">
        <v>41316</v>
      </c>
      <c r="B1453">
        <v>34.123756</v>
      </c>
      <c r="C1453" s="334">
        <f t="shared" si="22"/>
        <v>-4.5662683882275066E-3</v>
      </c>
    </row>
    <row r="1454" spans="1:3" x14ac:dyDescent="0.3">
      <c r="A1454" s="335">
        <v>41317</v>
      </c>
      <c r="B1454">
        <v>34.280289000000003</v>
      </c>
      <c r="C1454" s="334">
        <f t="shared" si="22"/>
        <v>4.5872148423521473E-3</v>
      </c>
    </row>
    <row r="1455" spans="1:3" x14ac:dyDescent="0.3">
      <c r="A1455" s="335">
        <v>41318</v>
      </c>
      <c r="B1455">
        <v>34.123756</v>
      </c>
      <c r="C1455" s="334">
        <f t="shared" si="22"/>
        <v>-4.5662683882275066E-3</v>
      </c>
    </row>
    <row r="1456" spans="1:3" x14ac:dyDescent="0.3">
      <c r="A1456" s="335">
        <v>41319</v>
      </c>
      <c r="B1456">
        <v>33.810696</v>
      </c>
      <c r="C1456" s="334">
        <f t="shared" si="22"/>
        <v>-9.1742538541185244E-3</v>
      </c>
    </row>
    <row r="1457" spans="1:3" x14ac:dyDescent="0.3">
      <c r="A1457" s="335">
        <v>41320</v>
      </c>
      <c r="B1457">
        <v>33.497630999999998</v>
      </c>
      <c r="C1457" s="334">
        <f t="shared" si="22"/>
        <v>-9.2593479885773929E-3</v>
      </c>
    </row>
    <row r="1458" spans="1:3" x14ac:dyDescent="0.3">
      <c r="A1458" s="335">
        <v>41323</v>
      </c>
      <c r="B1458">
        <v>33.654162999999997</v>
      </c>
      <c r="C1458" s="334">
        <f t="shared" si="22"/>
        <v>4.6729274676169958E-3</v>
      </c>
    </row>
    <row r="1459" spans="1:3" x14ac:dyDescent="0.3">
      <c r="A1459" s="335">
        <v>41324</v>
      </c>
      <c r="B1459">
        <v>34.123756</v>
      </c>
      <c r="C1459" s="334">
        <f t="shared" si="22"/>
        <v>1.3953489201321195E-2</v>
      </c>
    </row>
    <row r="1460" spans="1:3" x14ac:dyDescent="0.3">
      <c r="A1460" s="335">
        <v>41325</v>
      </c>
      <c r="B1460">
        <v>34.436821000000002</v>
      </c>
      <c r="C1460" s="334">
        <f t="shared" si="22"/>
        <v>9.1744003796065624E-3</v>
      </c>
    </row>
    <row r="1461" spans="1:3" x14ac:dyDescent="0.3">
      <c r="A1461" s="335">
        <v>41326</v>
      </c>
      <c r="B1461">
        <v>34.123756</v>
      </c>
      <c r="C1461" s="334">
        <f t="shared" si="22"/>
        <v>-9.0909959429763178E-3</v>
      </c>
    </row>
    <row r="1462" spans="1:3" x14ac:dyDescent="0.3">
      <c r="A1462" s="335">
        <v>41327</v>
      </c>
      <c r="B1462">
        <v>34.593342</v>
      </c>
      <c r="C1462" s="334">
        <f t="shared" si="22"/>
        <v>1.3761263560787378E-2</v>
      </c>
    </row>
    <row r="1463" spans="1:3" x14ac:dyDescent="0.3">
      <c r="A1463" s="335">
        <v>41330</v>
      </c>
      <c r="B1463">
        <v>35.062939</v>
      </c>
      <c r="C1463" s="334">
        <f t="shared" si="22"/>
        <v>1.357477979433153E-2</v>
      </c>
    </row>
    <row r="1464" spans="1:3" x14ac:dyDescent="0.3">
      <c r="A1464" s="335">
        <v>41331</v>
      </c>
      <c r="B1464">
        <v>34.906410000000001</v>
      </c>
      <c r="C1464" s="334">
        <f t="shared" si="22"/>
        <v>-4.4642293106119547E-3</v>
      </c>
    </row>
    <row r="1465" spans="1:3" x14ac:dyDescent="0.3">
      <c r="A1465" s="335">
        <v>41332</v>
      </c>
      <c r="B1465">
        <v>35.376002999999997</v>
      </c>
      <c r="C1465" s="334">
        <f t="shared" si="22"/>
        <v>1.3452915954404825E-2</v>
      </c>
    </row>
    <row r="1466" spans="1:3" x14ac:dyDescent="0.3">
      <c r="A1466" s="335">
        <v>41333</v>
      </c>
      <c r="B1466">
        <v>36.628253999999998</v>
      </c>
      <c r="C1466" s="334">
        <f t="shared" si="22"/>
        <v>3.5398317893629794E-2</v>
      </c>
    </row>
    <row r="1467" spans="1:3" x14ac:dyDescent="0.3">
      <c r="A1467" s="335">
        <v>41334</v>
      </c>
      <c r="B1467">
        <v>36.315188999999997</v>
      </c>
      <c r="C1467" s="334">
        <f t="shared" si="22"/>
        <v>-8.5470904509945163E-3</v>
      </c>
    </row>
    <row r="1468" spans="1:3" x14ac:dyDescent="0.3">
      <c r="A1468" s="335">
        <v>41337</v>
      </c>
      <c r="B1468">
        <v>36.002128999999996</v>
      </c>
      <c r="C1468" s="334">
        <f t="shared" si="22"/>
        <v>-8.6206352939537274E-3</v>
      </c>
    </row>
    <row r="1469" spans="1:3" x14ac:dyDescent="0.3">
      <c r="A1469" s="335">
        <v>41338</v>
      </c>
      <c r="B1469">
        <v>36.628253999999998</v>
      </c>
      <c r="C1469" s="334">
        <f t="shared" si="22"/>
        <v>1.7391332607024485E-2</v>
      </c>
    </row>
    <row r="1470" spans="1:3" x14ac:dyDescent="0.3">
      <c r="A1470" s="335">
        <v>41339</v>
      </c>
      <c r="B1470">
        <v>33.497630999999998</v>
      </c>
      <c r="C1470" s="334">
        <f t="shared" si="22"/>
        <v>-8.5470167374071399E-2</v>
      </c>
    </row>
    <row r="1471" spans="1:3" x14ac:dyDescent="0.3">
      <c r="A1471" s="335">
        <v>41340</v>
      </c>
      <c r="B1471">
        <v>33.497630999999998</v>
      </c>
      <c r="C1471" s="334">
        <f t="shared" si="22"/>
        <v>0</v>
      </c>
    </row>
    <row r="1472" spans="1:3" x14ac:dyDescent="0.3">
      <c r="A1472" s="335">
        <v>41341</v>
      </c>
      <c r="B1472">
        <v>33.810696</v>
      </c>
      <c r="C1472" s="334">
        <f t="shared" si="22"/>
        <v>9.3458847880914832E-3</v>
      </c>
    </row>
    <row r="1473" spans="1:3" x14ac:dyDescent="0.3">
      <c r="A1473" s="335">
        <v>41344</v>
      </c>
      <c r="B1473">
        <v>33.810696</v>
      </c>
      <c r="C1473" s="334">
        <f t="shared" si="22"/>
        <v>0</v>
      </c>
    </row>
    <row r="1474" spans="1:3" x14ac:dyDescent="0.3">
      <c r="A1474" s="335">
        <v>41345</v>
      </c>
      <c r="B1474">
        <v>34.436821000000002</v>
      </c>
      <c r="C1474" s="334">
        <f t="shared" si="22"/>
        <v>1.8518548094957933E-2</v>
      </c>
    </row>
    <row r="1475" spans="1:3" x14ac:dyDescent="0.3">
      <c r="A1475" s="335">
        <v>41346</v>
      </c>
      <c r="B1475">
        <v>33.497630999999998</v>
      </c>
      <c r="C1475" s="334">
        <f t="shared" si="22"/>
        <v>-2.7272842635503534E-2</v>
      </c>
    </row>
    <row r="1476" spans="1:3" x14ac:dyDescent="0.3">
      <c r="A1476" s="335">
        <v>41347</v>
      </c>
      <c r="B1476">
        <v>33.184570000000001</v>
      </c>
      <c r="C1476" s="334">
        <f t="shared" si="22"/>
        <v>-9.3457653766619384E-3</v>
      </c>
    </row>
    <row r="1477" spans="1:3" x14ac:dyDescent="0.3">
      <c r="A1477" s="335">
        <v>41348</v>
      </c>
      <c r="B1477">
        <v>32.558449000000003</v>
      </c>
      <c r="C1477" s="334">
        <f t="shared" si="22"/>
        <v>-1.8867835261990668E-2</v>
      </c>
    </row>
    <row r="1478" spans="1:3" x14ac:dyDescent="0.3">
      <c r="A1478" s="335">
        <v>41351</v>
      </c>
      <c r="B1478">
        <v>31.932320000000001</v>
      </c>
      <c r="C1478" s="334">
        <f t="shared" ref="C1478:C1541" si="23">(B1478-B1477)/B1477</f>
        <v>-1.9230922210084465E-2</v>
      </c>
    </row>
    <row r="1479" spans="1:3" x14ac:dyDescent="0.3">
      <c r="A1479" s="335">
        <v>41352</v>
      </c>
      <c r="B1479">
        <v>32.088856</v>
      </c>
      <c r="C1479" s="334">
        <f t="shared" si="23"/>
        <v>4.9021179795266717E-3</v>
      </c>
    </row>
    <row r="1480" spans="1:3" x14ac:dyDescent="0.3">
      <c r="A1480" s="335">
        <v>41353</v>
      </c>
      <c r="B1480">
        <v>32.088856</v>
      </c>
      <c r="C1480" s="334">
        <f t="shared" si="23"/>
        <v>0</v>
      </c>
    </row>
    <row r="1481" spans="1:3" x14ac:dyDescent="0.3">
      <c r="A1481" s="335">
        <v>41354</v>
      </c>
      <c r="B1481">
        <v>31.619261000000002</v>
      </c>
      <c r="C1481" s="334">
        <f t="shared" si="23"/>
        <v>-1.4634208212346312E-2</v>
      </c>
    </row>
    <row r="1482" spans="1:3" x14ac:dyDescent="0.3">
      <c r="A1482" s="335">
        <v>41355</v>
      </c>
      <c r="B1482">
        <v>32.088856</v>
      </c>
      <c r="C1482" s="334">
        <f t="shared" si="23"/>
        <v>1.4851548870797397E-2</v>
      </c>
    </row>
    <row r="1483" spans="1:3" x14ac:dyDescent="0.3">
      <c r="A1483" s="335">
        <v>41358</v>
      </c>
      <c r="B1483">
        <v>32.245387999999998</v>
      </c>
      <c r="C1483" s="334">
        <f t="shared" si="23"/>
        <v>4.8780797919376921E-3</v>
      </c>
    </row>
    <row r="1484" spans="1:3" x14ac:dyDescent="0.3">
      <c r="A1484" s="335">
        <v>41359</v>
      </c>
      <c r="B1484">
        <v>32.558449000000003</v>
      </c>
      <c r="C1484" s="334">
        <f t="shared" si="23"/>
        <v>9.7087062497125086E-3</v>
      </c>
    </row>
    <row r="1485" spans="1:3" x14ac:dyDescent="0.3">
      <c r="A1485" s="335">
        <v>41360</v>
      </c>
      <c r="B1485">
        <v>32.714981000000002</v>
      </c>
      <c r="C1485" s="334">
        <f t="shared" si="23"/>
        <v>4.807722874022609E-3</v>
      </c>
    </row>
    <row r="1486" spans="1:3" x14ac:dyDescent="0.3">
      <c r="A1486" s="335">
        <v>41366</v>
      </c>
      <c r="B1486">
        <v>33.341106000000003</v>
      </c>
      <c r="C1486" s="334">
        <f t="shared" si="23"/>
        <v>1.9138785377867156E-2</v>
      </c>
    </row>
    <row r="1487" spans="1:3" x14ac:dyDescent="0.3">
      <c r="A1487" s="335">
        <v>41367</v>
      </c>
      <c r="B1487">
        <v>33.810696</v>
      </c>
      <c r="C1487" s="334">
        <f t="shared" si="23"/>
        <v>1.4084415795924603E-2</v>
      </c>
    </row>
    <row r="1488" spans="1:3" x14ac:dyDescent="0.3">
      <c r="A1488" s="335">
        <v>41368</v>
      </c>
      <c r="B1488">
        <v>33.341106000000003</v>
      </c>
      <c r="C1488" s="334">
        <f t="shared" si="23"/>
        <v>-1.3888800159570705E-2</v>
      </c>
    </row>
    <row r="1489" spans="1:3" x14ac:dyDescent="0.3">
      <c r="A1489" s="335">
        <v>41369</v>
      </c>
      <c r="B1489">
        <v>33.810696</v>
      </c>
      <c r="C1489" s="334">
        <f t="shared" si="23"/>
        <v>1.4084415795924603E-2</v>
      </c>
    </row>
    <row r="1490" spans="1:3" x14ac:dyDescent="0.3">
      <c r="A1490" s="335">
        <v>41372</v>
      </c>
      <c r="B1490">
        <v>34.436821000000002</v>
      </c>
      <c r="C1490" s="334">
        <f t="shared" si="23"/>
        <v>1.8518548094957933E-2</v>
      </c>
    </row>
    <row r="1491" spans="1:3" x14ac:dyDescent="0.3">
      <c r="A1491" s="335">
        <v>41373</v>
      </c>
      <c r="B1491">
        <v>34.906410000000001</v>
      </c>
      <c r="C1491" s="334">
        <f t="shared" si="23"/>
        <v>1.3636247085641241E-2</v>
      </c>
    </row>
    <row r="1492" spans="1:3" x14ac:dyDescent="0.3">
      <c r="A1492" s="335">
        <v>41374</v>
      </c>
      <c r="B1492">
        <v>35.532536</v>
      </c>
      <c r="C1492" s="334">
        <f t="shared" si="23"/>
        <v>1.7937278568606718E-2</v>
      </c>
    </row>
    <row r="1493" spans="1:3" x14ac:dyDescent="0.3">
      <c r="A1493" s="335">
        <v>41375</v>
      </c>
      <c r="B1493">
        <v>36.002128999999996</v>
      </c>
      <c r="C1493" s="334">
        <f t="shared" si="23"/>
        <v>1.3215859402773733E-2</v>
      </c>
    </row>
    <row r="1494" spans="1:3" x14ac:dyDescent="0.3">
      <c r="A1494" s="335">
        <v>41376</v>
      </c>
      <c r="B1494">
        <v>36.158653000000001</v>
      </c>
      <c r="C1494" s="334">
        <f t="shared" si="23"/>
        <v>4.3476317747765574E-3</v>
      </c>
    </row>
    <row r="1495" spans="1:3" x14ac:dyDescent="0.3">
      <c r="A1495" s="335">
        <v>41379</v>
      </c>
      <c r="B1495">
        <v>35.532536</v>
      </c>
      <c r="C1495" s="334">
        <f t="shared" si="23"/>
        <v>-1.7315827555855045E-2</v>
      </c>
    </row>
    <row r="1496" spans="1:3" x14ac:dyDescent="0.3">
      <c r="A1496" s="335">
        <v>41380</v>
      </c>
      <c r="B1496">
        <v>35.532536</v>
      </c>
      <c r="C1496" s="334">
        <f t="shared" si="23"/>
        <v>0</v>
      </c>
    </row>
    <row r="1497" spans="1:3" x14ac:dyDescent="0.3">
      <c r="A1497" s="335">
        <v>41381</v>
      </c>
      <c r="B1497">
        <v>35.532536</v>
      </c>
      <c r="C1497" s="334">
        <f t="shared" si="23"/>
        <v>0</v>
      </c>
    </row>
    <row r="1498" spans="1:3" x14ac:dyDescent="0.3">
      <c r="A1498" s="335">
        <v>41382</v>
      </c>
      <c r="B1498">
        <v>35.219475000000003</v>
      </c>
      <c r="C1498" s="334">
        <f t="shared" si="23"/>
        <v>-8.8105447919618676E-3</v>
      </c>
    </row>
    <row r="1499" spans="1:3" x14ac:dyDescent="0.3">
      <c r="A1499" s="335">
        <v>41383</v>
      </c>
      <c r="B1499">
        <v>35.376002999999997</v>
      </c>
      <c r="C1499" s="334">
        <f t="shared" si="23"/>
        <v>4.4443592642989267E-3</v>
      </c>
    </row>
    <row r="1500" spans="1:3" x14ac:dyDescent="0.3">
      <c r="A1500" s="335">
        <v>41386</v>
      </c>
      <c r="B1500">
        <v>35.845596</v>
      </c>
      <c r="C1500" s="334">
        <f t="shared" si="23"/>
        <v>1.3274337408892783E-2</v>
      </c>
    </row>
    <row r="1501" spans="1:3" x14ac:dyDescent="0.3">
      <c r="A1501" s="335">
        <v>41387</v>
      </c>
      <c r="B1501">
        <v>36.315188999999997</v>
      </c>
      <c r="C1501" s="334">
        <f t="shared" si="23"/>
        <v>1.310043777762814E-2</v>
      </c>
    </row>
    <row r="1502" spans="1:3" x14ac:dyDescent="0.3">
      <c r="A1502" s="335">
        <v>41388</v>
      </c>
      <c r="B1502">
        <v>35.845596</v>
      </c>
      <c r="C1502" s="334">
        <f t="shared" si="23"/>
        <v>-1.2931035550992072E-2</v>
      </c>
    </row>
    <row r="1503" spans="1:3" x14ac:dyDescent="0.3">
      <c r="A1503" s="335">
        <v>41389</v>
      </c>
      <c r="B1503">
        <v>36.158653000000001</v>
      </c>
      <c r="C1503" s="334">
        <f t="shared" si="23"/>
        <v>8.7334856979362427E-3</v>
      </c>
    </row>
    <row r="1504" spans="1:3" x14ac:dyDescent="0.3">
      <c r="A1504" s="335">
        <v>41390</v>
      </c>
      <c r="B1504">
        <v>36.002128999999996</v>
      </c>
      <c r="C1504" s="334">
        <f t="shared" si="23"/>
        <v>-4.3288116955021681E-3</v>
      </c>
    </row>
    <row r="1505" spans="1:3" x14ac:dyDescent="0.3">
      <c r="A1505" s="335">
        <v>41393</v>
      </c>
      <c r="B1505">
        <v>36.158653000000001</v>
      </c>
      <c r="C1505" s="334">
        <f t="shared" si="23"/>
        <v>4.3476317747765574E-3</v>
      </c>
    </row>
    <row r="1506" spans="1:3" x14ac:dyDescent="0.3">
      <c r="A1506" s="335">
        <v>41394</v>
      </c>
      <c r="B1506">
        <v>36.315188999999997</v>
      </c>
      <c r="C1506" s="334">
        <f t="shared" si="23"/>
        <v>4.3291435662715519E-3</v>
      </c>
    </row>
    <row r="1507" spans="1:3" x14ac:dyDescent="0.3">
      <c r="A1507" s="335">
        <v>41396</v>
      </c>
      <c r="B1507">
        <v>37.254371999999996</v>
      </c>
      <c r="C1507" s="334">
        <f t="shared" si="23"/>
        <v>2.5861988491922758E-2</v>
      </c>
    </row>
    <row r="1508" spans="1:3" x14ac:dyDescent="0.3">
      <c r="A1508" s="335">
        <v>41397</v>
      </c>
      <c r="B1508">
        <v>38.193565</v>
      </c>
      <c r="C1508" s="334">
        <f t="shared" si="23"/>
        <v>2.5210275991231396E-2</v>
      </c>
    </row>
    <row r="1509" spans="1:3" x14ac:dyDescent="0.3">
      <c r="A1509" s="335">
        <v>41400</v>
      </c>
      <c r="B1509">
        <v>38.350090000000002</v>
      </c>
      <c r="C1509" s="334">
        <f t="shared" si="23"/>
        <v>4.0982034539064896E-3</v>
      </c>
    </row>
    <row r="1510" spans="1:3" x14ac:dyDescent="0.3">
      <c r="A1510" s="335">
        <v>41401</v>
      </c>
      <c r="B1510">
        <v>38.037033000000001</v>
      </c>
      <c r="C1510" s="334">
        <f t="shared" si="23"/>
        <v>-8.1631359926404492E-3</v>
      </c>
    </row>
    <row r="1511" spans="1:3" x14ac:dyDescent="0.3">
      <c r="A1511" s="335">
        <v>41402</v>
      </c>
      <c r="B1511">
        <v>38.350090000000002</v>
      </c>
      <c r="C1511" s="334">
        <f t="shared" si="23"/>
        <v>8.2303212240555298E-3</v>
      </c>
    </row>
    <row r="1512" spans="1:3" x14ac:dyDescent="0.3">
      <c r="A1512" s="335">
        <v>41404</v>
      </c>
      <c r="B1512">
        <v>38.663158000000003</v>
      </c>
      <c r="C1512" s="334">
        <f t="shared" si="23"/>
        <v>8.1634228237795845E-3</v>
      </c>
    </row>
    <row r="1513" spans="1:3" x14ac:dyDescent="0.3">
      <c r="A1513" s="335">
        <v>41407</v>
      </c>
      <c r="B1513">
        <v>38.819687000000002</v>
      </c>
      <c r="C1513" s="334">
        <f t="shared" si="23"/>
        <v>4.0485311624052804E-3</v>
      </c>
    </row>
    <row r="1514" spans="1:3" x14ac:dyDescent="0.3">
      <c r="A1514" s="335">
        <v>41408</v>
      </c>
      <c r="B1514">
        <v>37.410907999999999</v>
      </c>
      <c r="C1514" s="334">
        <f t="shared" si="23"/>
        <v>-3.6290323515488485E-2</v>
      </c>
    </row>
    <row r="1515" spans="1:3" x14ac:dyDescent="0.3">
      <c r="A1515" s="335">
        <v>41409</v>
      </c>
      <c r="B1515">
        <v>36.941315000000003</v>
      </c>
      <c r="C1515" s="334">
        <f t="shared" si="23"/>
        <v>-1.2552301590755193E-2</v>
      </c>
    </row>
    <row r="1516" spans="1:3" x14ac:dyDescent="0.3">
      <c r="A1516" s="335">
        <v>41410</v>
      </c>
      <c r="B1516">
        <v>37.254371999999996</v>
      </c>
      <c r="C1516" s="334">
        <f t="shared" si="23"/>
        <v>8.4744411507818133E-3</v>
      </c>
    </row>
    <row r="1517" spans="1:3" x14ac:dyDescent="0.3">
      <c r="A1517" s="335">
        <v>41415</v>
      </c>
      <c r="B1517">
        <v>36.784775000000003</v>
      </c>
      <c r="C1517" s="334">
        <f t="shared" si="23"/>
        <v>-1.2605151416859025E-2</v>
      </c>
    </row>
    <row r="1518" spans="1:3" x14ac:dyDescent="0.3">
      <c r="A1518" s="335">
        <v>41416</v>
      </c>
      <c r="B1518">
        <v>36.941315000000003</v>
      </c>
      <c r="C1518" s="334">
        <f t="shared" si="23"/>
        <v>4.2555649721929701E-3</v>
      </c>
    </row>
    <row r="1519" spans="1:3" x14ac:dyDescent="0.3">
      <c r="A1519" s="335">
        <v>41417</v>
      </c>
      <c r="B1519">
        <v>36.002128999999996</v>
      </c>
      <c r="C1519" s="334">
        <f t="shared" si="23"/>
        <v>-2.5423729501778874E-2</v>
      </c>
    </row>
    <row r="1520" spans="1:3" x14ac:dyDescent="0.3">
      <c r="A1520" s="335">
        <v>41418</v>
      </c>
      <c r="B1520">
        <v>35.845596</v>
      </c>
      <c r="C1520" s="334">
        <f t="shared" si="23"/>
        <v>-4.3478817599924731E-3</v>
      </c>
    </row>
    <row r="1521" spans="1:3" x14ac:dyDescent="0.3">
      <c r="A1521" s="335">
        <v>41421</v>
      </c>
      <c r="B1521">
        <v>36.315188999999997</v>
      </c>
      <c r="C1521" s="334">
        <f t="shared" si="23"/>
        <v>1.310043777762814E-2</v>
      </c>
    </row>
    <row r="1522" spans="1:3" x14ac:dyDescent="0.3">
      <c r="A1522" s="335">
        <v>41422</v>
      </c>
      <c r="B1522">
        <v>36.158653000000001</v>
      </c>
      <c r="C1522" s="334">
        <f t="shared" si="23"/>
        <v>-4.3104828670999231E-3</v>
      </c>
    </row>
    <row r="1523" spans="1:3" x14ac:dyDescent="0.3">
      <c r="A1523" s="335">
        <v>41423</v>
      </c>
      <c r="B1523">
        <v>35.689064000000002</v>
      </c>
      <c r="C1523" s="334">
        <f t="shared" si="23"/>
        <v>-1.2986905236763081E-2</v>
      </c>
    </row>
    <row r="1524" spans="1:3" x14ac:dyDescent="0.3">
      <c r="A1524" s="335">
        <v>41424</v>
      </c>
      <c r="B1524">
        <v>37.723968999999997</v>
      </c>
      <c r="C1524" s="334">
        <f t="shared" si="23"/>
        <v>5.701760628970249E-2</v>
      </c>
    </row>
    <row r="1525" spans="1:3" x14ac:dyDescent="0.3">
      <c r="A1525" s="335">
        <v>41425</v>
      </c>
      <c r="B1525">
        <v>37.410907999999999</v>
      </c>
      <c r="C1525" s="334">
        <f t="shared" si="23"/>
        <v>-8.2987291183490696E-3</v>
      </c>
    </row>
    <row r="1526" spans="1:3" x14ac:dyDescent="0.3">
      <c r="A1526" s="335">
        <v>41428</v>
      </c>
      <c r="B1526">
        <v>38.663158000000003</v>
      </c>
      <c r="C1526" s="334">
        <f t="shared" si="23"/>
        <v>3.3472857702357924E-2</v>
      </c>
    </row>
    <row r="1527" spans="1:3" x14ac:dyDescent="0.3">
      <c r="A1527" s="335">
        <v>41429</v>
      </c>
      <c r="B1527">
        <v>37.567439999999998</v>
      </c>
      <c r="C1527" s="334">
        <f t="shared" si="23"/>
        <v>-2.8340106103076343E-2</v>
      </c>
    </row>
    <row r="1528" spans="1:3" x14ac:dyDescent="0.3">
      <c r="A1528" s="335">
        <v>41430</v>
      </c>
      <c r="B1528">
        <v>37.567439999999998</v>
      </c>
      <c r="C1528" s="334">
        <f t="shared" si="23"/>
        <v>0</v>
      </c>
    </row>
    <row r="1529" spans="1:3" x14ac:dyDescent="0.3">
      <c r="A1529" s="335">
        <v>41431</v>
      </c>
      <c r="B1529">
        <v>36.784775000000003</v>
      </c>
      <c r="C1529" s="334">
        <f t="shared" si="23"/>
        <v>-2.0833599521287435E-2</v>
      </c>
    </row>
    <row r="1530" spans="1:3" x14ac:dyDescent="0.3">
      <c r="A1530" s="335">
        <v>41432</v>
      </c>
      <c r="B1530">
        <v>36.315188999999997</v>
      </c>
      <c r="C1530" s="334">
        <f t="shared" si="23"/>
        <v>-1.2765770621133517E-2</v>
      </c>
    </row>
    <row r="1531" spans="1:3" x14ac:dyDescent="0.3">
      <c r="A1531" s="335">
        <v>41435</v>
      </c>
      <c r="B1531">
        <v>35.689064000000002</v>
      </c>
      <c r="C1531" s="334">
        <f t="shared" si="23"/>
        <v>-1.7241408271343288E-2</v>
      </c>
    </row>
    <row r="1532" spans="1:3" x14ac:dyDescent="0.3">
      <c r="A1532" s="335">
        <v>41436</v>
      </c>
      <c r="B1532">
        <v>34.436821000000002</v>
      </c>
      <c r="C1532" s="334">
        <f t="shared" si="23"/>
        <v>-3.5087583131908413E-2</v>
      </c>
    </row>
    <row r="1533" spans="1:3" x14ac:dyDescent="0.3">
      <c r="A1533" s="335">
        <v>41437</v>
      </c>
      <c r="B1533">
        <v>36.002128999999996</v>
      </c>
      <c r="C1533" s="334">
        <f t="shared" si="23"/>
        <v>4.5454486057234914E-2</v>
      </c>
    </row>
    <row r="1534" spans="1:3" x14ac:dyDescent="0.3">
      <c r="A1534" s="335">
        <v>41438</v>
      </c>
      <c r="B1534">
        <v>36.158653000000001</v>
      </c>
      <c r="C1534" s="334">
        <f t="shared" si="23"/>
        <v>4.3476317747765574E-3</v>
      </c>
    </row>
    <row r="1535" spans="1:3" x14ac:dyDescent="0.3">
      <c r="A1535" s="335">
        <v>41439</v>
      </c>
      <c r="B1535">
        <v>36.158653000000001</v>
      </c>
      <c r="C1535" s="334">
        <f t="shared" si="23"/>
        <v>0</v>
      </c>
    </row>
    <row r="1536" spans="1:3" x14ac:dyDescent="0.3">
      <c r="A1536" s="335">
        <v>41442</v>
      </c>
      <c r="B1536">
        <v>37.097842999999997</v>
      </c>
      <c r="C1536" s="334">
        <f t="shared" si="23"/>
        <v>2.5974142344295747E-2</v>
      </c>
    </row>
    <row r="1537" spans="1:3" x14ac:dyDescent="0.3">
      <c r="A1537" s="335">
        <v>41443</v>
      </c>
      <c r="B1537">
        <v>36.315188999999997</v>
      </c>
      <c r="C1537" s="334">
        <f t="shared" si="23"/>
        <v>-2.1097021732503447E-2</v>
      </c>
    </row>
    <row r="1538" spans="1:3" x14ac:dyDescent="0.3">
      <c r="A1538" s="335">
        <v>41444</v>
      </c>
      <c r="B1538">
        <v>37.097842999999997</v>
      </c>
      <c r="C1538" s="334">
        <f t="shared" si="23"/>
        <v>2.1551698381633122E-2</v>
      </c>
    </row>
    <row r="1539" spans="1:3" x14ac:dyDescent="0.3">
      <c r="A1539" s="335">
        <v>41445</v>
      </c>
      <c r="B1539">
        <v>36.784775000000003</v>
      </c>
      <c r="C1539" s="334">
        <f t="shared" si="23"/>
        <v>-8.4389812097699097E-3</v>
      </c>
    </row>
    <row r="1540" spans="1:3" x14ac:dyDescent="0.3">
      <c r="A1540" s="335">
        <v>41446</v>
      </c>
      <c r="B1540">
        <v>37.410907999999999</v>
      </c>
      <c r="C1540" s="334">
        <f t="shared" si="23"/>
        <v>1.7021525889447355E-2</v>
      </c>
    </row>
    <row r="1541" spans="1:3" x14ac:dyDescent="0.3">
      <c r="A1541" s="335">
        <v>41449</v>
      </c>
      <c r="B1541">
        <v>36.628253999999998</v>
      </c>
      <c r="C1541" s="334">
        <f t="shared" si="23"/>
        <v>-2.0920475921086996E-2</v>
      </c>
    </row>
    <row r="1542" spans="1:3" x14ac:dyDescent="0.3">
      <c r="A1542" s="335">
        <v>41450</v>
      </c>
      <c r="B1542">
        <v>37.723968999999997</v>
      </c>
      <c r="C1542" s="334">
        <f t="shared" ref="C1542:C1605" si="24">(B1542-B1541)/B1541</f>
        <v>2.991447531187259E-2</v>
      </c>
    </row>
    <row r="1543" spans="1:3" x14ac:dyDescent="0.3">
      <c r="A1543" s="335">
        <v>41451</v>
      </c>
      <c r="B1543">
        <v>38.037033000000001</v>
      </c>
      <c r="C1543" s="334">
        <f t="shared" si="24"/>
        <v>8.2988086433854365E-3</v>
      </c>
    </row>
    <row r="1544" spans="1:3" x14ac:dyDescent="0.3">
      <c r="A1544" s="335">
        <v>41452</v>
      </c>
      <c r="B1544">
        <v>38.663158000000003</v>
      </c>
      <c r="C1544" s="334">
        <f t="shared" si="24"/>
        <v>1.6460931639962609E-2</v>
      </c>
    </row>
    <row r="1545" spans="1:3" x14ac:dyDescent="0.3">
      <c r="A1545" s="335">
        <v>41453</v>
      </c>
      <c r="B1545">
        <v>38.819687000000002</v>
      </c>
      <c r="C1545" s="334">
        <f t="shared" si="24"/>
        <v>4.0485311624052804E-3</v>
      </c>
    </row>
    <row r="1546" spans="1:3" x14ac:dyDescent="0.3">
      <c r="A1546" s="335">
        <v>41456</v>
      </c>
      <c r="B1546">
        <v>38.819687000000002</v>
      </c>
      <c r="C1546" s="334">
        <f t="shared" si="24"/>
        <v>0</v>
      </c>
    </row>
    <row r="1547" spans="1:3" x14ac:dyDescent="0.3">
      <c r="A1547" s="335">
        <v>41457</v>
      </c>
      <c r="B1547">
        <v>38.663158000000003</v>
      </c>
      <c r="C1547" s="334">
        <f t="shared" si="24"/>
        <v>-4.0322066481370397E-3</v>
      </c>
    </row>
    <row r="1548" spans="1:3" x14ac:dyDescent="0.3">
      <c r="A1548" s="335">
        <v>41458</v>
      </c>
      <c r="B1548">
        <v>38.506625999999997</v>
      </c>
      <c r="C1548" s="334">
        <f t="shared" si="24"/>
        <v>-4.0486087556532669E-3</v>
      </c>
    </row>
    <row r="1549" spans="1:3" x14ac:dyDescent="0.3">
      <c r="A1549" s="335">
        <v>41459</v>
      </c>
      <c r="B1549">
        <v>38.506625999999997</v>
      </c>
      <c r="C1549" s="334">
        <f t="shared" si="24"/>
        <v>0</v>
      </c>
    </row>
    <row r="1550" spans="1:3" x14ac:dyDescent="0.3">
      <c r="A1550" s="335">
        <v>41460</v>
      </c>
      <c r="B1550">
        <v>38.819687000000002</v>
      </c>
      <c r="C1550" s="334">
        <f t="shared" si="24"/>
        <v>8.1300553312566182E-3</v>
      </c>
    </row>
    <row r="1551" spans="1:3" x14ac:dyDescent="0.3">
      <c r="A1551" s="335">
        <v>41463</v>
      </c>
      <c r="B1551">
        <v>38.976215000000003</v>
      </c>
      <c r="C1551" s="334">
        <f t="shared" si="24"/>
        <v>4.0321808880118366E-3</v>
      </c>
    </row>
    <row r="1552" spans="1:3" x14ac:dyDescent="0.3">
      <c r="A1552" s="335">
        <v>41464</v>
      </c>
      <c r="B1552">
        <v>38.663158000000003</v>
      </c>
      <c r="C1552" s="334">
        <f t="shared" si="24"/>
        <v>-8.0320010550024041E-3</v>
      </c>
    </row>
    <row r="1553" spans="1:3" x14ac:dyDescent="0.3">
      <c r="A1553" s="335">
        <v>41465</v>
      </c>
      <c r="B1553">
        <v>38.663158000000003</v>
      </c>
      <c r="C1553" s="334">
        <f t="shared" si="24"/>
        <v>0</v>
      </c>
    </row>
    <row r="1554" spans="1:3" x14ac:dyDescent="0.3">
      <c r="A1554" s="335">
        <v>41466</v>
      </c>
      <c r="B1554">
        <v>38.350090000000002</v>
      </c>
      <c r="C1554" s="334">
        <f t="shared" si="24"/>
        <v>-8.0973209689700256E-3</v>
      </c>
    </row>
    <row r="1555" spans="1:3" x14ac:dyDescent="0.3">
      <c r="A1555" s="335">
        <v>41467</v>
      </c>
      <c r="B1555">
        <v>38.506625999999997</v>
      </c>
      <c r="C1555" s="334">
        <f t="shared" si="24"/>
        <v>4.0817635630058646E-3</v>
      </c>
    </row>
    <row r="1556" spans="1:3" x14ac:dyDescent="0.3">
      <c r="A1556" s="335">
        <v>41470</v>
      </c>
      <c r="B1556">
        <v>38.663158000000003</v>
      </c>
      <c r="C1556" s="334">
        <f t="shared" si="24"/>
        <v>4.0650666199631633E-3</v>
      </c>
    </row>
    <row r="1557" spans="1:3" x14ac:dyDescent="0.3">
      <c r="A1557" s="335">
        <v>41471</v>
      </c>
      <c r="B1557">
        <v>38.819687000000002</v>
      </c>
      <c r="C1557" s="334">
        <f t="shared" si="24"/>
        <v>4.0485311624052804E-3</v>
      </c>
    </row>
    <row r="1558" spans="1:3" x14ac:dyDescent="0.3">
      <c r="A1558" s="335">
        <v>41472</v>
      </c>
      <c r="B1558">
        <v>38.819687000000002</v>
      </c>
      <c r="C1558" s="334">
        <f t="shared" si="24"/>
        <v>0</v>
      </c>
    </row>
    <row r="1559" spans="1:3" x14ac:dyDescent="0.3">
      <c r="A1559" s="335">
        <v>41473</v>
      </c>
      <c r="B1559">
        <v>38.506625999999997</v>
      </c>
      <c r="C1559" s="334">
        <f t="shared" si="24"/>
        <v>-8.0644905766500564E-3</v>
      </c>
    </row>
    <row r="1560" spans="1:3" x14ac:dyDescent="0.3">
      <c r="A1560" s="335">
        <v>41474</v>
      </c>
      <c r="B1560">
        <v>39.289279999999998</v>
      </c>
      <c r="C1560" s="334">
        <f t="shared" si="24"/>
        <v>2.0325177282476032E-2</v>
      </c>
    </row>
    <row r="1561" spans="1:3" x14ac:dyDescent="0.3">
      <c r="A1561" s="335">
        <v>41477</v>
      </c>
      <c r="B1561">
        <v>38.819687000000002</v>
      </c>
      <c r="C1561" s="334">
        <f t="shared" si="24"/>
        <v>-1.1952191539269647E-2</v>
      </c>
    </row>
    <row r="1562" spans="1:3" x14ac:dyDescent="0.3">
      <c r="A1562" s="335">
        <v>41478</v>
      </c>
      <c r="B1562">
        <v>38.819687000000002</v>
      </c>
      <c r="C1562" s="334">
        <f t="shared" si="24"/>
        <v>0</v>
      </c>
    </row>
    <row r="1563" spans="1:3" x14ac:dyDescent="0.3">
      <c r="A1563" s="335">
        <v>41479</v>
      </c>
      <c r="B1563">
        <v>38.976215000000003</v>
      </c>
      <c r="C1563" s="334">
        <f t="shared" si="24"/>
        <v>4.0321808880118366E-3</v>
      </c>
    </row>
    <row r="1564" spans="1:3" x14ac:dyDescent="0.3">
      <c r="A1564" s="335">
        <v>41480</v>
      </c>
      <c r="B1564">
        <v>38.819687000000002</v>
      </c>
      <c r="C1564" s="334">
        <f t="shared" si="24"/>
        <v>-4.0159876991647733E-3</v>
      </c>
    </row>
    <row r="1565" spans="1:3" x14ac:dyDescent="0.3">
      <c r="A1565" s="335">
        <v>41481</v>
      </c>
      <c r="B1565">
        <v>37.880501000000002</v>
      </c>
      <c r="C1565" s="334">
        <f t="shared" si="24"/>
        <v>-2.4193549010325596E-2</v>
      </c>
    </row>
    <row r="1566" spans="1:3" x14ac:dyDescent="0.3">
      <c r="A1566" s="335">
        <v>41484</v>
      </c>
      <c r="B1566">
        <v>36.784775000000003</v>
      </c>
      <c r="C1566" s="334">
        <f t="shared" si="24"/>
        <v>-2.8925858187567238E-2</v>
      </c>
    </row>
    <row r="1567" spans="1:3" x14ac:dyDescent="0.3">
      <c r="A1567" s="335">
        <v>41485</v>
      </c>
      <c r="B1567">
        <v>37.567439999999998</v>
      </c>
      <c r="C1567" s="334">
        <f t="shared" si="24"/>
        <v>2.1276873380358975E-2</v>
      </c>
    </row>
    <row r="1568" spans="1:3" x14ac:dyDescent="0.3">
      <c r="A1568" s="335">
        <v>41486</v>
      </c>
      <c r="B1568">
        <v>37.254371999999996</v>
      </c>
      <c r="C1568" s="334">
        <f t="shared" si="24"/>
        <v>-8.3334930461059168E-3</v>
      </c>
    </row>
    <row r="1569" spans="1:3" x14ac:dyDescent="0.3">
      <c r="A1569" s="335">
        <v>41487</v>
      </c>
      <c r="B1569">
        <v>37.097842999999997</v>
      </c>
      <c r="C1569" s="334">
        <f t="shared" si="24"/>
        <v>-4.2016276639960286E-3</v>
      </c>
    </row>
    <row r="1570" spans="1:3" x14ac:dyDescent="0.3">
      <c r="A1570" s="335">
        <v>41488</v>
      </c>
      <c r="B1570">
        <v>37.097842999999997</v>
      </c>
      <c r="C1570" s="334">
        <f t="shared" si="24"/>
        <v>0</v>
      </c>
    </row>
    <row r="1571" spans="1:3" x14ac:dyDescent="0.3">
      <c r="A1571" s="335">
        <v>41491</v>
      </c>
      <c r="B1571">
        <v>36.941315000000003</v>
      </c>
      <c r="C1571" s="334">
        <f t="shared" si="24"/>
        <v>-4.2193288704142299E-3</v>
      </c>
    </row>
    <row r="1572" spans="1:3" x14ac:dyDescent="0.3">
      <c r="A1572" s="335">
        <v>41492</v>
      </c>
      <c r="B1572">
        <v>36.315188999999997</v>
      </c>
      <c r="C1572" s="334">
        <f t="shared" si="24"/>
        <v>-1.6949207141110336E-2</v>
      </c>
    </row>
    <row r="1573" spans="1:3" x14ac:dyDescent="0.3">
      <c r="A1573" s="335">
        <v>41493</v>
      </c>
      <c r="B1573">
        <v>37.254371999999996</v>
      </c>
      <c r="C1573" s="334">
        <f t="shared" si="24"/>
        <v>2.5861988491922758E-2</v>
      </c>
    </row>
    <row r="1574" spans="1:3" x14ac:dyDescent="0.3">
      <c r="A1574" s="335">
        <v>41494</v>
      </c>
      <c r="B1574">
        <v>37.723968999999997</v>
      </c>
      <c r="C1574" s="334">
        <f t="shared" si="24"/>
        <v>1.2605151416859216E-2</v>
      </c>
    </row>
    <row r="1575" spans="1:3" x14ac:dyDescent="0.3">
      <c r="A1575" s="335">
        <v>41495</v>
      </c>
      <c r="B1575">
        <v>37.880501000000002</v>
      </c>
      <c r="C1575" s="334">
        <f t="shared" si="24"/>
        <v>4.1494043216928119E-3</v>
      </c>
    </row>
    <row r="1576" spans="1:3" x14ac:dyDescent="0.3">
      <c r="A1576" s="335">
        <v>41498</v>
      </c>
      <c r="B1576">
        <v>37.410907999999999</v>
      </c>
      <c r="C1576" s="334">
        <f t="shared" si="24"/>
        <v>-1.2396694542134044E-2</v>
      </c>
    </row>
    <row r="1577" spans="1:3" x14ac:dyDescent="0.3">
      <c r="A1577" s="335">
        <v>41499</v>
      </c>
      <c r="B1577">
        <v>36.941315000000003</v>
      </c>
      <c r="C1577" s="334">
        <f t="shared" si="24"/>
        <v>-1.2552301590755193E-2</v>
      </c>
    </row>
    <row r="1578" spans="1:3" x14ac:dyDescent="0.3">
      <c r="A1578" s="335">
        <v>41500</v>
      </c>
      <c r="B1578">
        <v>36.158653000000001</v>
      </c>
      <c r="C1578" s="334">
        <f t="shared" si="24"/>
        <v>-2.1186630741217575E-2</v>
      </c>
    </row>
    <row r="1579" spans="1:3" x14ac:dyDescent="0.3">
      <c r="A1579" s="335">
        <v>41501</v>
      </c>
      <c r="B1579">
        <v>36.471724999999999</v>
      </c>
      <c r="C1579" s="334">
        <f t="shared" si="24"/>
        <v>8.6582871325433016E-3</v>
      </c>
    </row>
    <row r="1580" spans="1:3" x14ac:dyDescent="0.3">
      <c r="A1580" s="335">
        <v>41502</v>
      </c>
      <c r="B1580">
        <v>36.784775000000003</v>
      </c>
      <c r="C1580" s="334">
        <f t="shared" si="24"/>
        <v>8.5833614944180476E-3</v>
      </c>
    </row>
    <row r="1581" spans="1:3" x14ac:dyDescent="0.3">
      <c r="A1581" s="335">
        <v>41505</v>
      </c>
      <c r="B1581">
        <v>37.410907999999999</v>
      </c>
      <c r="C1581" s="334">
        <f t="shared" si="24"/>
        <v>1.7021525889447355E-2</v>
      </c>
    </row>
    <row r="1582" spans="1:3" x14ac:dyDescent="0.3">
      <c r="A1582" s="335">
        <v>41506</v>
      </c>
      <c r="B1582">
        <v>37.567439999999998</v>
      </c>
      <c r="C1582" s="334">
        <f t="shared" si="24"/>
        <v>4.1841272604235796E-3</v>
      </c>
    </row>
    <row r="1583" spans="1:3" x14ac:dyDescent="0.3">
      <c r="A1583" s="335">
        <v>41507</v>
      </c>
      <c r="B1583">
        <v>38.193565</v>
      </c>
      <c r="C1583" s="334">
        <f t="shared" si="24"/>
        <v>1.666669328546214E-2</v>
      </c>
    </row>
    <row r="1584" spans="1:3" x14ac:dyDescent="0.3">
      <c r="A1584" s="335">
        <v>41508</v>
      </c>
      <c r="B1584">
        <v>38.350090000000002</v>
      </c>
      <c r="C1584" s="334">
        <f t="shared" si="24"/>
        <v>4.0982034539064896E-3</v>
      </c>
    </row>
    <row r="1585" spans="1:3" x14ac:dyDescent="0.3">
      <c r="A1585" s="335">
        <v>41509</v>
      </c>
      <c r="B1585">
        <v>37.880501000000002</v>
      </c>
      <c r="C1585" s="334">
        <f t="shared" si="24"/>
        <v>-1.2244795253413985E-2</v>
      </c>
    </row>
    <row r="1586" spans="1:3" x14ac:dyDescent="0.3">
      <c r="A1586" s="335">
        <v>41512</v>
      </c>
      <c r="B1586">
        <v>38.193565</v>
      </c>
      <c r="C1586" s="334">
        <f t="shared" si="24"/>
        <v>8.2645158257013841E-3</v>
      </c>
    </row>
    <row r="1587" spans="1:3" x14ac:dyDescent="0.3">
      <c r="A1587" s="335">
        <v>41513</v>
      </c>
      <c r="B1587">
        <v>37.410907999999999</v>
      </c>
      <c r="C1587" s="334">
        <f t="shared" si="24"/>
        <v>-2.0491855107005602E-2</v>
      </c>
    </row>
    <row r="1588" spans="1:3" x14ac:dyDescent="0.3">
      <c r="A1588" s="335">
        <v>41514</v>
      </c>
      <c r="B1588">
        <v>37.410907999999999</v>
      </c>
      <c r="C1588" s="334">
        <f t="shared" si="24"/>
        <v>0</v>
      </c>
    </row>
    <row r="1589" spans="1:3" x14ac:dyDescent="0.3">
      <c r="A1589" s="335">
        <v>41515</v>
      </c>
      <c r="B1589">
        <v>38.193565</v>
      </c>
      <c r="C1589" s="334">
        <f t="shared" si="24"/>
        <v>2.092055611160254E-2</v>
      </c>
    </row>
    <row r="1590" spans="1:3" x14ac:dyDescent="0.3">
      <c r="A1590" s="335">
        <v>41516</v>
      </c>
      <c r="B1590">
        <v>37.567439999999998</v>
      </c>
      <c r="C1590" s="334">
        <f t="shared" si="24"/>
        <v>-1.6393468376151896E-2</v>
      </c>
    </row>
    <row r="1591" spans="1:3" x14ac:dyDescent="0.3">
      <c r="A1591" s="335">
        <v>41519</v>
      </c>
      <c r="B1591">
        <v>39.445808</v>
      </c>
      <c r="C1591" s="334">
        <f t="shared" si="24"/>
        <v>4.9999893524818352E-2</v>
      </c>
    </row>
    <row r="1592" spans="1:3" x14ac:dyDescent="0.3">
      <c r="A1592" s="335">
        <v>41520</v>
      </c>
      <c r="B1592">
        <v>38.506625999999997</v>
      </c>
      <c r="C1592" s="334">
        <f t="shared" si="24"/>
        <v>-2.3809424818982093E-2</v>
      </c>
    </row>
    <row r="1593" spans="1:3" x14ac:dyDescent="0.3">
      <c r="A1593" s="335">
        <v>41521</v>
      </c>
      <c r="B1593">
        <v>38.350090000000002</v>
      </c>
      <c r="C1593" s="334">
        <f t="shared" si="24"/>
        <v>-4.0651704981889501E-3</v>
      </c>
    </row>
    <row r="1594" spans="1:3" x14ac:dyDescent="0.3">
      <c r="A1594" s="335">
        <v>41522</v>
      </c>
      <c r="B1594">
        <v>38.350090000000002</v>
      </c>
      <c r="C1594" s="334">
        <f t="shared" si="24"/>
        <v>0</v>
      </c>
    </row>
    <row r="1595" spans="1:3" x14ac:dyDescent="0.3">
      <c r="A1595" s="335">
        <v>41523</v>
      </c>
      <c r="B1595">
        <v>38.037033000000001</v>
      </c>
      <c r="C1595" s="334">
        <f t="shared" si="24"/>
        <v>-8.1631359926404492E-3</v>
      </c>
    </row>
    <row r="1596" spans="1:3" x14ac:dyDescent="0.3">
      <c r="A1596" s="335">
        <v>41526</v>
      </c>
      <c r="B1596">
        <v>37.410907999999999</v>
      </c>
      <c r="C1596" s="334">
        <f t="shared" si="24"/>
        <v>-1.6460931639962609E-2</v>
      </c>
    </row>
    <row r="1597" spans="1:3" x14ac:dyDescent="0.3">
      <c r="A1597" s="335">
        <v>41527</v>
      </c>
      <c r="B1597">
        <v>37.880501000000002</v>
      </c>
      <c r="C1597" s="334">
        <f t="shared" si="24"/>
        <v>1.2552301590755382E-2</v>
      </c>
    </row>
    <row r="1598" spans="1:3" x14ac:dyDescent="0.3">
      <c r="A1598" s="335">
        <v>41528</v>
      </c>
      <c r="B1598">
        <v>39.915401000000003</v>
      </c>
      <c r="C1598" s="334">
        <f t="shared" si="24"/>
        <v>5.3718930486162268E-2</v>
      </c>
    </row>
    <row r="1599" spans="1:3" x14ac:dyDescent="0.3">
      <c r="A1599" s="335">
        <v>41529</v>
      </c>
      <c r="B1599">
        <v>39.289279999999998</v>
      </c>
      <c r="C1599" s="334">
        <f t="shared" si="24"/>
        <v>-1.5686200922796812E-2</v>
      </c>
    </row>
    <row r="1600" spans="1:3" x14ac:dyDescent="0.3">
      <c r="A1600" s="335">
        <v>41530</v>
      </c>
      <c r="B1600">
        <v>39.132750999999999</v>
      </c>
      <c r="C1600" s="334">
        <f t="shared" si="24"/>
        <v>-3.9840129419525892E-3</v>
      </c>
    </row>
    <row r="1601" spans="1:3" x14ac:dyDescent="0.3">
      <c r="A1601" s="335">
        <v>41533</v>
      </c>
      <c r="B1601">
        <v>39.445808</v>
      </c>
      <c r="C1601" s="334">
        <f t="shared" si="24"/>
        <v>7.9998720253528968E-3</v>
      </c>
    </row>
    <row r="1602" spans="1:3" x14ac:dyDescent="0.3">
      <c r="A1602" s="335">
        <v>41534</v>
      </c>
      <c r="B1602">
        <v>39.915401000000003</v>
      </c>
      <c r="C1602" s="334">
        <f t="shared" si="24"/>
        <v>1.1904763111963717E-2</v>
      </c>
    </row>
    <row r="1603" spans="1:3" x14ac:dyDescent="0.3">
      <c r="A1603" s="335">
        <v>41535</v>
      </c>
      <c r="B1603">
        <v>40.698054999999997</v>
      </c>
      <c r="C1603" s="334">
        <f t="shared" si="24"/>
        <v>1.9607820049208417E-2</v>
      </c>
    </row>
    <row r="1604" spans="1:3" x14ac:dyDescent="0.3">
      <c r="A1604" s="335">
        <v>41536</v>
      </c>
      <c r="B1604">
        <v>41.167648</v>
      </c>
      <c r="C1604" s="334">
        <f t="shared" si="24"/>
        <v>1.153846295603078E-2</v>
      </c>
    </row>
    <row r="1605" spans="1:3" x14ac:dyDescent="0.3">
      <c r="A1605" s="335">
        <v>41537</v>
      </c>
      <c r="B1605">
        <v>42.263370999999999</v>
      </c>
      <c r="C1605" s="334">
        <f t="shared" si="24"/>
        <v>2.6616118559894399E-2</v>
      </c>
    </row>
    <row r="1606" spans="1:3" x14ac:dyDescent="0.3">
      <c r="A1606" s="335">
        <v>41540</v>
      </c>
      <c r="B1606">
        <v>41.324181000000003</v>
      </c>
      <c r="C1606" s="334">
        <f t="shared" ref="C1606:C1669" si="25">(B1606-B1605)/B1605</f>
        <v>-2.2222316341022501E-2</v>
      </c>
    </row>
    <row r="1607" spans="1:3" x14ac:dyDescent="0.3">
      <c r="A1607" s="335">
        <v>41541</v>
      </c>
      <c r="B1607">
        <v>41.637245</v>
      </c>
      <c r="C1607" s="334">
        <f t="shared" si="25"/>
        <v>7.5758065235460347E-3</v>
      </c>
    </row>
    <row r="1608" spans="1:3" x14ac:dyDescent="0.3">
      <c r="A1608" s="335">
        <v>41542</v>
      </c>
      <c r="B1608">
        <v>42.106833999999999</v>
      </c>
      <c r="C1608" s="334">
        <f t="shared" si="25"/>
        <v>1.127809969175432E-2</v>
      </c>
    </row>
    <row r="1609" spans="1:3" x14ac:dyDescent="0.3">
      <c r="A1609" s="335">
        <v>41543</v>
      </c>
      <c r="B1609">
        <v>42.889488</v>
      </c>
      <c r="C1609" s="334">
        <f t="shared" si="25"/>
        <v>1.8587339052848307E-2</v>
      </c>
    </row>
    <row r="1610" spans="1:3" x14ac:dyDescent="0.3">
      <c r="A1610" s="335">
        <v>41544</v>
      </c>
      <c r="B1610">
        <v>43.359085</v>
      </c>
      <c r="C1610" s="334">
        <f t="shared" si="25"/>
        <v>1.0948999904125697E-2</v>
      </c>
    </row>
    <row r="1611" spans="1:3" x14ac:dyDescent="0.3">
      <c r="A1611" s="335">
        <v>41547</v>
      </c>
      <c r="B1611">
        <v>42.732964000000003</v>
      </c>
      <c r="C1611" s="334">
        <f t="shared" si="25"/>
        <v>-1.4440364689430087E-2</v>
      </c>
    </row>
    <row r="1612" spans="1:3" x14ac:dyDescent="0.3">
      <c r="A1612" s="335">
        <v>41548</v>
      </c>
      <c r="B1612">
        <v>43.672145999999998</v>
      </c>
      <c r="C1612" s="334">
        <f t="shared" si="25"/>
        <v>2.1977927859157986E-2</v>
      </c>
    </row>
    <row r="1613" spans="1:3" x14ac:dyDescent="0.3">
      <c r="A1613" s="335">
        <v>41549</v>
      </c>
      <c r="B1613">
        <v>43.515616999999999</v>
      </c>
      <c r="C1613" s="334">
        <f t="shared" si="25"/>
        <v>-3.5841838411146327E-3</v>
      </c>
    </row>
    <row r="1614" spans="1:3" x14ac:dyDescent="0.3">
      <c r="A1614" s="335">
        <v>41550</v>
      </c>
      <c r="B1614">
        <v>43.515616999999999</v>
      </c>
      <c r="C1614" s="334">
        <f t="shared" si="25"/>
        <v>0</v>
      </c>
    </row>
    <row r="1615" spans="1:3" x14ac:dyDescent="0.3">
      <c r="A1615" s="335">
        <v>41551</v>
      </c>
      <c r="B1615">
        <v>43.828673999999999</v>
      </c>
      <c r="C1615" s="334">
        <f t="shared" si="25"/>
        <v>7.1941298683642838E-3</v>
      </c>
    </row>
    <row r="1616" spans="1:3" x14ac:dyDescent="0.3">
      <c r="A1616" s="335">
        <v>41554</v>
      </c>
      <c r="B1616">
        <v>44.141739000000001</v>
      </c>
      <c r="C1616" s="334">
        <f t="shared" si="25"/>
        <v>7.14292656903108E-3</v>
      </c>
    </row>
    <row r="1617" spans="1:3" x14ac:dyDescent="0.3">
      <c r="A1617" s="335">
        <v>41555</v>
      </c>
      <c r="B1617">
        <v>44.298274999999997</v>
      </c>
      <c r="C1617" s="334">
        <f t="shared" si="25"/>
        <v>3.5462128032607769E-3</v>
      </c>
    </row>
    <row r="1618" spans="1:3" x14ac:dyDescent="0.3">
      <c r="A1618" s="335">
        <v>41556</v>
      </c>
      <c r="B1618">
        <v>42.889488</v>
      </c>
      <c r="C1618" s="334">
        <f t="shared" si="25"/>
        <v>-3.1802299299464751E-2</v>
      </c>
    </row>
    <row r="1619" spans="1:3" x14ac:dyDescent="0.3">
      <c r="A1619" s="335">
        <v>41557</v>
      </c>
      <c r="B1619">
        <v>45.080928999999998</v>
      </c>
      <c r="C1619" s="334">
        <f t="shared" si="25"/>
        <v>5.1095060868994228E-2</v>
      </c>
    </row>
    <row r="1620" spans="1:3" x14ac:dyDescent="0.3">
      <c r="A1620" s="335">
        <v>41558</v>
      </c>
      <c r="B1620">
        <v>46.333176000000002</v>
      </c>
      <c r="C1620" s="334">
        <f t="shared" si="25"/>
        <v>2.7777754979273036E-2</v>
      </c>
    </row>
    <row r="1621" spans="1:3" x14ac:dyDescent="0.3">
      <c r="A1621" s="335">
        <v>41561</v>
      </c>
      <c r="B1621">
        <v>46.646239999999999</v>
      </c>
      <c r="C1621" s="334">
        <f t="shared" si="25"/>
        <v>6.7567999223708966E-3</v>
      </c>
    </row>
    <row r="1622" spans="1:3" x14ac:dyDescent="0.3">
      <c r="A1622" s="335">
        <v>41562</v>
      </c>
      <c r="B1622">
        <v>46.489704000000003</v>
      </c>
      <c r="C1622" s="334">
        <f t="shared" si="25"/>
        <v>-3.3558117438832278E-3</v>
      </c>
    </row>
    <row r="1623" spans="1:3" x14ac:dyDescent="0.3">
      <c r="A1623" s="335">
        <v>41563</v>
      </c>
      <c r="B1623">
        <v>46.020107000000003</v>
      </c>
      <c r="C1623" s="334">
        <f t="shared" si="25"/>
        <v>-1.0101096793388924E-2</v>
      </c>
    </row>
    <row r="1624" spans="1:3" x14ac:dyDescent="0.3">
      <c r="A1624" s="335">
        <v>41564</v>
      </c>
      <c r="B1624">
        <v>46.020107000000003</v>
      </c>
      <c r="C1624" s="334">
        <f t="shared" si="25"/>
        <v>0</v>
      </c>
    </row>
    <row r="1625" spans="1:3" x14ac:dyDescent="0.3">
      <c r="A1625" s="335">
        <v>41565</v>
      </c>
      <c r="B1625">
        <v>46.333176000000002</v>
      </c>
      <c r="C1625" s="334">
        <f t="shared" si="25"/>
        <v>6.8028742306053026E-3</v>
      </c>
    </row>
    <row r="1626" spans="1:3" x14ac:dyDescent="0.3">
      <c r="A1626" s="335">
        <v>41568</v>
      </c>
      <c r="B1626">
        <v>47.115828999999998</v>
      </c>
      <c r="C1626" s="334">
        <f t="shared" si="25"/>
        <v>1.6891848726277608E-2</v>
      </c>
    </row>
    <row r="1627" spans="1:3" x14ac:dyDescent="0.3">
      <c r="A1627" s="335">
        <v>41569</v>
      </c>
      <c r="B1627">
        <v>47.428890000000003</v>
      </c>
      <c r="C1627" s="334">
        <f t="shared" si="25"/>
        <v>6.6444973301860973E-3</v>
      </c>
    </row>
    <row r="1628" spans="1:3" x14ac:dyDescent="0.3">
      <c r="A1628" s="335">
        <v>41570</v>
      </c>
      <c r="B1628">
        <v>46.959290000000003</v>
      </c>
      <c r="C1628" s="334">
        <f t="shared" si="25"/>
        <v>-9.9011383146432423E-3</v>
      </c>
    </row>
    <row r="1629" spans="1:3" x14ac:dyDescent="0.3">
      <c r="A1629" s="335">
        <v>41571</v>
      </c>
      <c r="B1629">
        <v>46.333176000000002</v>
      </c>
      <c r="C1629" s="334">
        <f t="shared" si="25"/>
        <v>-1.3333123222263392E-2</v>
      </c>
    </row>
    <row r="1630" spans="1:3" x14ac:dyDescent="0.3">
      <c r="A1630" s="335">
        <v>41572</v>
      </c>
      <c r="B1630">
        <v>46.333176000000002</v>
      </c>
      <c r="C1630" s="334">
        <f t="shared" si="25"/>
        <v>0</v>
      </c>
    </row>
    <row r="1631" spans="1:3" x14ac:dyDescent="0.3">
      <c r="A1631" s="335">
        <v>41575</v>
      </c>
      <c r="B1631">
        <v>46.333176000000002</v>
      </c>
      <c r="C1631" s="334">
        <f t="shared" si="25"/>
        <v>0</v>
      </c>
    </row>
    <row r="1632" spans="1:3" x14ac:dyDescent="0.3">
      <c r="A1632" s="335">
        <v>41576</v>
      </c>
      <c r="B1632">
        <v>46.020107000000003</v>
      </c>
      <c r="C1632" s="334">
        <f t="shared" si="25"/>
        <v>-6.7569078364064384E-3</v>
      </c>
    </row>
    <row r="1633" spans="1:3" x14ac:dyDescent="0.3">
      <c r="A1633" s="335">
        <v>41577</v>
      </c>
      <c r="B1633">
        <v>46.333176000000002</v>
      </c>
      <c r="C1633" s="334">
        <f t="shared" si="25"/>
        <v>6.8028742306053026E-3</v>
      </c>
    </row>
    <row r="1634" spans="1:3" x14ac:dyDescent="0.3">
      <c r="A1634" s="335">
        <v>41578</v>
      </c>
      <c r="B1634">
        <v>45.550525999999998</v>
      </c>
      <c r="C1634" s="334">
        <f t="shared" si="25"/>
        <v>-1.6891783977856466E-2</v>
      </c>
    </row>
    <row r="1635" spans="1:3" x14ac:dyDescent="0.3">
      <c r="A1635" s="335">
        <v>41579</v>
      </c>
      <c r="B1635">
        <v>45.393985999999998</v>
      </c>
      <c r="C1635" s="334">
        <f t="shared" si="25"/>
        <v>-3.4366233224178287E-3</v>
      </c>
    </row>
    <row r="1636" spans="1:3" x14ac:dyDescent="0.3">
      <c r="A1636" s="335">
        <v>41582</v>
      </c>
      <c r="B1636">
        <v>45.237456999999999</v>
      </c>
      <c r="C1636" s="334">
        <f t="shared" si="25"/>
        <v>-3.4482321072222878E-3</v>
      </c>
    </row>
    <row r="1637" spans="1:3" x14ac:dyDescent="0.3">
      <c r="A1637" s="335">
        <v>41583</v>
      </c>
      <c r="B1637">
        <v>43.985210000000002</v>
      </c>
      <c r="C1637" s="334">
        <f t="shared" si="25"/>
        <v>-2.7681640017916946E-2</v>
      </c>
    </row>
    <row r="1638" spans="1:3" x14ac:dyDescent="0.3">
      <c r="A1638" s="335">
        <v>41584</v>
      </c>
      <c r="B1638">
        <v>45.237456999999999</v>
      </c>
      <c r="C1638" s="334">
        <f t="shared" si="25"/>
        <v>2.8469728802022247E-2</v>
      </c>
    </row>
    <row r="1639" spans="1:3" x14ac:dyDescent="0.3">
      <c r="A1639" s="335">
        <v>41585</v>
      </c>
      <c r="B1639">
        <v>45.707047000000003</v>
      </c>
      <c r="C1639" s="334">
        <f t="shared" si="25"/>
        <v>1.0380556979584501E-2</v>
      </c>
    </row>
    <row r="1640" spans="1:3" x14ac:dyDescent="0.3">
      <c r="A1640" s="335">
        <v>41586</v>
      </c>
      <c r="B1640">
        <v>44.767859999999999</v>
      </c>
      <c r="C1640" s="334">
        <f t="shared" si="25"/>
        <v>-2.054796933173136E-2</v>
      </c>
    </row>
    <row r="1641" spans="1:3" x14ac:dyDescent="0.3">
      <c r="A1641" s="335">
        <v>41589</v>
      </c>
      <c r="B1641">
        <v>44.454802999999998</v>
      </c>
      <c r="C1641" s="334">
        <f t="shared" si="25"/>
        <v>-6.9928962429743257E-3</v>
      </c>
    </row>
    <row r="1642" spans="1:3" x14ac:dyDescent="0.3">
      <c r="A1642" s="335">
        <v>41590</v>
      </c>
      <c r="B1642">
        <v>43.672145999999998</v>
      </c>
      <c r="C1642" s="334">
        <f t="shared" si="25"/>
        <v>-1.7605679188365773E-2</v>
      </c>
    </row>
    <row r="1643" spans="1:3" x14ac:dyDescent="0.3">
      <c r="A1643" s="335">
        <v>41591</v>
      </c>
      <c r="B1643">
        <v>43.359085</v>
      </c>
      <c r="C1643" s="334">
        <f t="shared" si="25"/>
        <v>-7.168436375899586E-3</v>
      </c>
    </row>
    <row r="1644" spans="1:3" x14ac:dyDescent="0.3">
      <c r="A1644" s="335">
        <v>41592</v>
      </c>
      <c r="B1644">
        <v>44.454802999999998</v>
      </c>
      <c r="C1644" s="334">
        <f t="shared" si="25"/>
        <v>2.5270782351610923E-2</v>
      </c>
    </row>
    <row r="1645" spans="1:3" x14ac:dyDescent="0.3">
      <c r="A1645" s="335">
        <v>41593</v>
      </c>
      <c r="B1645">
        <v>45.080928999999998</v>
      </c>
      <c r="C1645" s="334">
        <f t="shared" si="25"/>
        <v>1.4084552348595479E-2</v>
      </c>
    </row>
    <row r="1646" spans="1:3" x14ac:dyDescent="0.3">
      <c r="A1646" s="335">
        <v>41596</v>
      </c>
      <c r="B1646">
        <v>45.237456999999999</v>
      </c>
      <c r="C1646" s="334">
        <f t="shared" si="25"/>
        <v>3.4721555982131949E-3</v>
      </c>
    </row>
    <row r="1647" spans="1:3" x14ac:dyDescent="0.3">
      <c r="A1647" s="335">
        <v>41597</v>
      </c>
      <c r="B1647">
        <v>45.080928999999998</v>
      </c>
      <c r="C1647" s="334">
        <f t="shared" si="25"/>
        <v>-3.460141448711442E-3</v>
      </c>
    </row>
    <row r="1648" spans="1:3" x14ac:dyDescent="0.3">
      <c r="A1648" s="335">
        <v>41598</v>
      </c>
      <c r="B1648">
        <v>44.611331999999997</v>
      </c>
      <c r="C1648" s="334">
        <f t="shared" si="25"/>
        <v>-1.0416755164916861E-2</v>
      </c>
    </row>
    <row r="1649" spans="1:3" x14ac:dyDescent="0.3">
      <c r="A1649" s="335">
        <v>41599</v>
      </c>
      <c r="B1649">
        <v>43.985210000000002</v>
      </c>
      <c r="C1649" s="334">
        <f t="shared" si="25"/>
        <v>-1.403504383146406E-2</v>
      </c>
    </row>
    <row r="1650" spans="1:3" x14ac:dyDescent="0.3">
      <c r="A1650" s="335">
        <v>41600</v>
      </c>
      <c r="B1650">
        <v>44.298274999999997</v>
      </c>
      <c r="C1650" s="334">
        <f t="shared" si="25"/>
        <v>7.1175060889784219E-3</v>
      </c>
    </row>
    <row r="1651" spans="1:3" x14ac:dyDescent="0.3">
      <c r="A1651" s="335">
        <v>41603</v>
      </c>
      <c r="B1651">
        <v>44.611331999999997</v>
      </c>
      <c r="C1651" s="334">
        <f t="shared" si="25"/>
        <v>7.0670246189044744E-3</v>
      </c>
    </row>
    <row r="1652" spans="1:3" x14ac:dyDescent="0.3">
      <c r="A1652" s="335">
        <v>41604</v>
      </c>
      <c r="B1652">
        <v>44.767859999999999</v>
      </c>
      <c r="C1652" s="334">
        <f t="shared" si="25"/>
        <v>3.5087049182929925E-3</v>
      </c>
    </row>
    <row r="1653" spans="1:3" x14ac:dyDescent="0.3">
      <c r="A1653" s="335">
        <v>41605</v>
      </c>
      <c r="B1653">
        <v>45.080928999999998</v>
      </c>
      <c r="C1653" s="334">
        <f t="shared" si="25"/>
        <v>6.9931642924186844E-3</v>
      </c>
    </row>
    <row r="1654" spans="1:3" x14ac:dyDescent="0.3">
      <c r="A1654" s="335">
        <v>41606</v>
      </c>
      <c r="B1654">
        <v>46.020107000000003</v>
      </c>
      <c r="C1654" s="334">
        <f t="shared" si="25"/>
        <v>2.083315541256937E-2</v>
      </c>
    </row>
    <row r="1655" spans="1:3" x14ac:dyDescent="0.3">
      <c r="A1655" s="335">
        <v>41607</v>
      </c>
      <c r="B1655">
        <v>47.272362000000001</v>
      </c>
      <c r="C1655" s="334">
        <f t="shared" si="25"/>
        <v>2.7211040600144586E-2</v>
      </c>
    </row>
    <row r="1656" spans="1:3" x14ac:dyDescent="0.3">
      <c r="A1656" s="335">
        <v>41610</v>
      </c>
      <c r="B1656">
        <v>46.646239999999999</v>
      </c>
      <c r="C1656" s="334">
        <f t="shared" si="25"/>
        <v>-1.3244990804563612E-2</v>
      </c>
    </row>
    <row r="1657" spans="1:3" x14ac:dyDescent="0.3">
      <c r="A1657" s="335">
        <v>41611</v>
      </c>
      <c r="B1657">
        <v>46.333176000000002</v>
      </c>
      <c r="C1657" s="334">
        <f t="shared" si="25"/>
        <v>-6.7114519841255616E-3</v>
      </c>
    </row>
    <row r="1658" spans="1:3" x14ac:dyDescent="0.3">
      <c r="A1658" s="335">
        <v>41612</v>
      </c>
      <c r="B1658">
        <v>46.959290000000003</v>
      </c>
      <c r="C1658" s="334">
        <f t="shared" si="25"/>
        <v>1.3513297685442524E-2</v>
      </c>
    </row>
    <row r="1659" spans="1:3" x14ac:dyDescent="0.3">
      <c r="A1659" s="335">
        <v>41613</v>
      </c>
      <c r="B1659">
        <v>48.055011999999998</v>
      </c>
      <c r="C1659" s="334">
        <f t="shared" si="25"/>
        <v>2.3333444777380471E-2</v>
      </c>
    </row>
    <row r="1660" spans="1:3" x14ac:dyDescent="0.3">
      <c r="A1660" s="335">
        <v>41614</v>
      </c>
      <c r="B1660">
        <v>48.524600999999997</v>
      </c>
      <c r="C1660" s="334">
        <f t="shared" si="25"/>
        <v>9.7719047494983276E-3</v>
      </c>
    </row>
    <row r="1661" spans="1:3" x14ac:dyDescent="0.3">
      <c r="A1661" s="335">
        <v>41617</v>
      </c>
      <c r="B1661">
        <v>48.368084000000003</v>
      </c>
      <c r="C1661" s="334">
        <f t="shared" si="25"/>
        <v>-3.2255185364634697E-3</v>
      </c>
    </row>
    <row r="1662" spans="1:3" x14ac:dyDescent="0.3">
      <c r="A1662" s="335">
        <v>41618</v>
      </c>
      <c r="B1662">
        <v>47.585422999999999</v>
      </c>
      <c r="C1662" s="334">
        <f t="shared" si="25"/>
        <v>-1.6181352149487759E-2</v>
      </c>
    </row>
    <row r="1663" spans="1:3" x14ac:dyDescent="0.3">
      <c r="A1663" s="335">
        <v>41619</v>
      </c>
      <c r="B1663">
        <v>46.959290000000003</v>
      </c>
      <c r="C1663" s="334">
        <f t="shared" si="25"/>
        <v>-1.3158084146903472E-2</v>
      </c>
    </row>
    <row r="1664" spans="1:3" x14ac:dyDescent="0.3">
      <c r="A1664" s="335">
        <v>41620</v>
      </c>
      <c r="B1664">
        <v>46.959290000000003</v>
      </c>
      <c r="C1664" s="334">
        <f t="shared" si="25"/>
        <v>0</v>
      </c>
    </row>
    <row r="1665" spans="1:3" x14ac:dyDescent="0.3">
      <c r="A1665" s="335">
        <v>41621</v>
      </c>
      <c r="B1665">
        <v>46.959290000000003</v>
      </c>
      <c r="C1665" s="334">
        <f t="shared" si="25"/>
        <v>0</v>
      </c>
    </row>
    <row r="1666" spans="1:3" x14ac:dyDescent="0.3">
      <c r="A1666" s="335">
        <v>41624</v>
      </c>
      <c r="B1666">
        <v>46.489704000000003</v>
      </c>
      <c r="C1666" s="334">
        <f t="shared" si="25"/>
        <v>-9.9998530642179551E-3</v>
      </c>
    </row>
    <row r="1667" spans="1:3" x14ac:dyDescent="0.3">
      <c r="A1667" s="335">
        <v>41625</v>
      </c>
      <c r="B1667">
        <v>46.333176000000002</v>
      </c>
      <c r="C1667" s="334">
        <f t="shared" si="25"/>
        <v>-3.3669390538602169E-3</v>
      </c>
    </row>
    <row r="1668" spans="1:3" x14ac:dyDescent="0.3">
      <c r="A1668" s="335">
        <v>41626</v>
      </c>
      <c r="B1668">
        <v>45.863582999999998</v>
      </c>
      <c r="C1668" s="334">
        <f t="shared" si="25"/>
        <v>-1.0135135135135205E-2</v>
      </c>
    </row>
    <row r="1669" spans="1:3" x14ac:dyDescent="0.3">
      <c r="A1669" s="335">
        <v>41627</v>
      </c>
      <c r="B1669">
        <v>45.393985999999998</v>
      </c>
      <c r="C1669" s="334">
        <f t="shared" si="25"/>
        <v>-1.0238995064995255E-2</v>
      </c>
    </row>
    <row r="1670" spans="1:3" x14ac:dyDescent="0.3">
      <c r="A1670" s="335">
        <v>41628</v>
      </c>
      <c r="B1670">
        <v>45.707047000000003</v>
      </c>
      <c r="C1670" s="334">
        <f t="shared" ref="C1670:C1733" si="26">(B1670-B1669)/B1669</f>
        <v>6.8965303024943591E-3</v>
      </c>
    </row>
    <row r="1671" spans="1:3" x14ac:dyDescent="0.3">
      <c r="A1671" s="335">
        <v>41631</v>
      </c>
      <c r="B1671">
        <v>45.863582999999998</v>
      </c>
      <c r="C1671" s="334">
        <f t="shared" si="26"/>
        <v>3.4247673011996499E-3</v>
      </c>
    </row>
    <row r="1672" spans="1:3" x14ac:dyDescent="0.3">
      <c r="A1672" s="335">
        <v>41635</v>
      </c>
      <c r="B1672">
        <v>45.550525999999998</v>
      </c>
      <c r="C1672" s="334">
        <f t="shared" si="26"/>
        <v>-6.8258295475955421E-3</v>
      </c>
    </row>
    <row r="1673" spans="1:3" x14ac:dyDescent="0.3">
      <c r="A1673" s="335">
        <v>41638</v>
      </c>
      <c r="B1673">
        <v>46.333176000000002</v>
      </c>
      <c r="C1673" s="334">
        <f t="shared" si="26"/>
        <v>1.7182018929924187E-2</v>
      </c>
    </row>
    <row r="1674" spans="1:3" x14ac:dyDescent="0.3">
      <c r="A1674" s="335">
        <v>41641</v>
      </c>
      <c r="B1674">
        <v>46.646239999999999</v>
      </c>
      <c r="C1674" s="334">
        <f t="shared" si="26"/>
        <v>6.7567999223708966E-3</v>
      </c>
    </row>
    <row r="1675" spans="1:3" x14ac:dyDescent="0.3">
      <c r="A1675" s="335">
        <v>41642</v>
      </c>
      <c r="B1675">
        <v>46.333176000000002</v>
      </c>
      <c r="C1675" s="334">
        <f t="shared" si="26"/>
        <v>-6.7114519841255616E-3</v>
      </c>
    </row>
    <row r="1676" spans="1:3" x14ac:dyDescent="0.3">
      <c r="A1676" s="335">
        <v>41645</v>
      </c>
      <c r="B1676">
        <v>46.020107000000003</v>
      </c>
      <c r="C1676" s="334">
        <f t="shared" si="26"/>
        <v>-6.7569078364064384E-3</v>
      </c>
    </row>
    <row r="1677" spans="1:3" x14ac:dyDescent="0.3">
      <c r="A1677" s="335">
        <v>41646</v>
      </c>
      <c r="B1677">
        <v>46.489704000000003</v>
      </c>
      <c r="C1677" s="334">
        <f t="shared" si="26"/>
        <v>1.0204170103298549E-2</v>
      </c>
    </row>
    <row r="1678" spans="1:3" x14ac:dyDescent="0.3">
      <c r="A1678" s="335">
        <v>41647</v>
      </c>
      <c r="B1678">
        <v>45.863582999999998</v>
      </c>
      <c r="C1678" s="334">
        <f t="shared" si="26"/>
        <v>-1.3467949806692784E-2</v>
      </c>
    </row>
    <row r="1679" spans="1:3" x14ac:dyDescent="0.3">
      <c r="A1679" s="335">
        <v>41648</v>
      </c>
      <c r="B1679">
        <v>45.237456999999999</v>
      </c>
      <c r="C1679" s="334">
        <f t="shared" si="26"/>
        <v>-1.3651920740688736E-2</v>
      </c>
    </row>
    <row r="1680" spans="1:3" x14ac:dyDescent="0.3">
      <c r="A1680" s="335">
        <v>41649</v>
      </c>
      <c r="B1680">
        <v>45.237456999999999</v>
      </c>
      <c r="C1680" s="334">
        <f t="shared" si="26"/>
        <v>0</v>
      </c>
    </row>
    <row r="1681" spans="1:3" x14ac:dyDescent="0.3">
      <c r="A1681" s="335">
        <v>41652</v>
      </c>
      <c r="B1681">
        <v>46.333176000000002</v>
      </c>
      <c r="C1681" s="334">
        <f t="shared" si="26"/>
        <v>2.4221498569205659E-2</v>
      </c>
    </row>
    <row r="1682" spans="1:3" x14ac:dyDescent="0.3">
      <c r="A1682" s="335">
        <v>41653</v>
      </c>
      <c r="B1682">
        <v>48.211548000000001</v>
      </c>
      <c r="C1682" s="334">
        <f t="shared" si="26"/>
        <v>4.0540540540540515E-2</v>
      </c>
    </row>
    <row r="1683" spans="1:3" x14ac:dyDescent="0.3">
      <c r="A1683" s="335">
        <v>41654</v>
      </c>
      <c r="B1683">
        <v>47.898479000000002</v>
      </c>
      <c r="C1683" s="334">
        <f t="shared" si="26"/>
        <v>-6.4936516869360571E-3</v>
      </c>
    </row>
    <row r="1684" spans="1:3" x14ac:dyDescent="0.3">
      <c r="A1684" s="335">
        <v>41655</v>
      </c>
      <c r="B1684">
        <v>48.994194</v>
      </c>
      <c r="C1684" s="334">
        <f t="shared" si="26"/>
        <v>2.2875778581612129E-2</v>
      </c>
    </row>
    <row r="1685" spans="1:3" x14ac:dyDescent="0.3">
      <c r="A1685" s="335">
        <v>41656</v>
      </c>
      <c r="B1685">
        <v>49.307262000000001</v>
      </c>
      <c r="C1685" s="334">
        <f t="shared" si="26"/>
        <v>6.3898999950892394E-3</v>
      </c>
    </row>
    <row r="1686" spans="1:3" x14ac:dyDescent="0.3">
      <c r="A1686" s="335">
        <v>41659</v>
      </c>
      <c r="B1686">
        <v>49.307262000000001</v>
      </c>
      <c r="C1686" s="334">
        <f t="shared" si="26"/>
        <v>0</v>
      </c>
    </row>
    <row r="1687" spans="1:3" x14ac:dyDescent="0.3">
      <c r="A1687" s="335">
        <v>41660</v>
      </c>
      <c r="B1687">
        <v>49.933383999999997</v>
      </c>
      <c r="C1687" s="334">
        <f t="shared" si="26"/>
        <v>1.2698372909045227E-2</v>
      </c>
    </row>
    <row r="1688" spans="1:3" x14ac:dyDescent="0.3">
      <c r="A1688" s="335">
        <v>41661</v>
      </c>
      <c r="B1688">
        <v>49.776851999999998</v>
      </c>
      <c r="C1688" s="334">
        <f t="shared" si="26"/>
        <v>-3.1348165788242705E-3</v>
      </c>
    </row>
    <row r="1689" spans="1:3" x14ac:dyDescent="0.3">
      <c r="A1689" s="335">
        <v>41662</v>
      </c>
      <c r="B1689">
        <v>49.463794999999998</v>
      </c>
      <c r="C1689" s="334">
        <f t="shared" si="26"/>
        <v>-6.2892084859042631E-3</v>
      </c>
    </row>
    <row r="1690" spans="1:3" x14ac:dyDescent="0.3">
      <c r="A1690" s="335">
        <v>41663</v>
      </c>
      <c r="B1690">
        <v>48.837668999999998</v>
      </c>
      <c r="C1690" s="334">
        <f t="shared" si="26"/>
        <v>-1.2658268537624324E-2</v>
      </c>
    </row>
    <row r="1691" spans="1:3" x14ac:dyDescent="0.3">
      <c r="A1691" s="335">
        <v>41666</v>
      </c>
      <c r="B1691">
        <v>48.837668999999998</v>
      </c>
      <c r="C1691" s="334">
        <f t="shared" si="26"/>
        <v>0</v>
      </c>
    </row>
    <row r="1692" spans="1:3" x14ac:dyDescent="0.3">
      <c r="A1692" s="335">
        <v>41667</v>
      </c>
      <c r="B1692">
        <v>48.524600999999997</v>
      </c>
      <c r="C1692" s="334">
        <f t="shared" si="26"/>
        <v>-6.4103796600120545E-3</v>
      </c>
    </row>
    <row r="1693" spans="1:3" x14ac:dyDescent="0.3">
      <c r="A1693" s="335">
        <v>41668</v>
      </c>
      <c r="B1693">
        <v>48.524600999999997</v>
      </c>
      <c r="C1693" s="334">
        <f t="shared" si="26"/>
        <v>0</v>
      </c>
    </row>
    <row r="1694" spans="1:3" x14ac:dyDescent="0.3">
      <c r="A1694" s="335">
        <v>41669</v>
      </c>
      <c r="B1694">
        <v>48.837668999999998</v>
      </c>
      <c r="C1694" s="334">
        <f t="shared" si="26"/>
        <v>6.4517377484464272E-3</v>
      </c>
    </row>
    <row r="1695" spans="1:3" x14ac:dyDescent="0.3">
      <c r="A1695" s="335">
        <v>41670</v>
      </c>
      <c r="B1695">
        <v>48.055011999999998</v>
      </c>
      <c r="C1695" s="334">
        <f t="shared" si="26"/>
        <v>-1.602568296205948E-2</v>
      </c>
    </row>
    <row r="1696" spans="1:3" x14ac:dyDescent="0.3">
      <c r="A1696" s="335">
        <v>41673</v>
      </c>
      <c r="B1696">
        <v>48.524600999999997</v>
      </c>
      <c r="C1696" s="334">
        <f t="shared" si="26"/>
        <v>9.7719047494983276E-3</v>
      </c>
    </row>
    <row r="1697" spans="1:3" x14ac:dyDescent="0.3">
      <c r="A1697" s="335">
        <v>41674</v>
      </c>
      <c r="B1697">
        <v>48.524600999999997</v>
      </c>
      <c r="C1697" s="334">
        <f t="shared" si="26"/>
        <v>0</v>
      </c>
    </row>
    <row r="1698" spans="1:3" x14ac:dyDescent="0.3">
      <c r="A1698" s="335">
        <v>41675</v>
      </c>
      <c r="B1698">
        <v>48.211548000000001</v>
      </c>
      <c r="C1698" s="334">
        <f t="shared" si="26"/>
        <v>-6.4514286268937378E-3</v>
      </c>
    </row>
    <row r="1699" spans="1:3" x14ac:dyDescent="0.3">
      <c r="A1699" s="335">
        <v>41676</v>
      </c>
      <c r="B1699">
        <v>47.272362000000001</v>
      </c>
      <c r="C1699" s="334">
        <f t="shared" si="26"/>
        <v>-1.948051948051947E-2</v>
      </c>
    </row>
    <row r="1700" spans="1:3" x14ac:dyDescent="0.3">
      <c r="A1700" s="335">
        <v>41677</v>
      </c>
      <c r="B1700">
        <v>48.524600999999997</v>
      </c>
      <c r="C1700" s="334">
        <f t="shared" si="26"/>
        <v>2.6489875839078993E-2</v>
      </c>
    </row>
    <row r="1701" spans="1:3" x14ac:dyDescent="0.3">
      <c r="A1701" s="335">
        <v>41680</v>
      </c>
      <c r="B1701">
        <v>47.741954999999997</v>
      </c>
      <c r="C1701" s="334">
        <f t="shared" si="26"/>
        <v>-1.6128849776631853E-2</v>
      </c>
    </row>
    <row r="1702" spans="1:3" x14ac:dyDescent="0.3">
      <c r="A1702" s="335">
        <v>41681</v>
      </c>
      <c r="B1702">
        <v>46.020107000000003</v>
      </c>
      <c r="C1702" s="334">
        <f t="shared" si="26"/>
        <v>-3.6065720392053371E-2</v>
      </c>
    </row>
    <row r="1703" spans="1:3" x14ac:dyDescent="0.3">
      <c r="A1703" s="335">
        <v>41682</v>
      </c>
      <c r="B1703">
        <v>45.707047000000003</v>
      </c>
      <c r="C1703" s="334">
        <f t="shared" si="26"/>
        <v>-6.8026786639153207E-3</v>
      </c>
    </row>
    <row r="1704" spans="1:3" x14ac:dyDescent="0.3">
      <c r="A1704" s="335">
        <v>41683</v>
      </c>
      <c r="B1704">
        <v>44.924393000000002</v>
      </c>
      <c r="C1704" s="334">
        <f t="shared" si="26"/>
        <v>-1.7123267665924705E-2</v>
      </c>
    </row>
    <row r="1705" spans="1:3" x14ac:dyDescent="0.3">
      <c r="A1705" s="335">
        <v>41684</v>
      </c>
      <c r="B1705">
        <v>45.393985999999998</v>
      </c>
      <c r="C1705" s="334">
        <f t="shared" si="26"/>
        <v>1.0452962603189678E-2</v>
      </c>
    </row>
    <row r="1706" spans="1:3" x14ac:dyDescent="0.3">
      <c r="A1706" s="335">
        <v>41687</v>
      </c>
      <c r="B1706">
        <v>45.080928999999998</v>
      </c>
      <c r="C1706" s="334">
        <f t="shared" si="26"/>
        <v>-6.896442185094752E-3</v>
      </c>
    </row>
    <row r="1707" spans="1:3" x14ac:dyDescent="0.3">
      <c r="A1707" s="335">
        <v>41688</v>
      </c>
      <c r="B1707">
        <v>45.393985999999998</v>
      </c>
      <c r="C1707" s="334">
        <f t="shared" si="26"/>
        <v>6.9443333787553626E-3</v>
      </c>
    </row>
    <row r="1708" spans="1:3" x14ac:dyDescent="0.3">
      <c r="A1708" s="335">
        <v>41689</v>
      </c>
      <c r="B1708">
        <v>45.237456999999999</v>
      </c>
      <c r="C1708" s="334">
        <f t="shared" si="26"/>
        <v>-3.4482321072222878E-3</v>
      </c>
    </row>
    <row r="1709" spans="1:3" x14ac:dyDescent="0.3">
      <c r="A1709" s="335">
        <v>41690</v>
      </c>
      <c r="B1709">
        <v>45.550525999999998</v>
      </c>
      <c r="C1709" s="334">
        <f t="shared" si="26"/>
        <v>6.9205702698982114E-3</v>
      </c>
    </row>
    <row r="1710" spans="1:3" x14ac:dyDescent="0.3">
      <c r="A1710" s="335">
        <v>41691</v>
      </c>
      <c r="B1710">
        <v>46.176647000000003</v>
      </c>
      <c r="C1710" s="334">
        <f t="shared" si="26"/>
        <v>1.374563709758269E-2</v>
      </c>
    </row>
    <row r="1711" spans="1:3" x14ac:dyDescent="0.3">
      <c r="A1711" s="335">
        <v>41694</v>
      </c>
      <c r="B1711">
        <v>45.707047000000003</v>
      </c>
      <c r="C1711" s="334">
        <f t="shared" si="26"/>
        <v>-1.0169642676740902E-2</v>
      </c>
    </row>
    <row r="1712" spans="1:3" x14ac:dyDescent="0.3">
      <c r="A1712" s="335">
        <v>41695</v>
      </c>
      <c r="B1712">
        <v>45.237456999999999</v>
      </c>
      <c r="C1712" s="334">
        <f t="shared" si="26"/>
        <v>-1.0273908091240366E-2</v>
      </c>
    </row>
    <row r="1713" spans="1:3" x14ac:dyDescent="0.3">
      <c r="A1713" s="335">
        <v>41696</v>
      </c>
      <c r="B1713">
        <v>46.333176000000002</v>
      </c>
      <c r="C1713" s="334">
        <f t="shared" si="26"/>
        <v>2.4221498569205659E-2</v>
      </c>
    </row>
    <row r="1714" spans="1:3" x14ac:dyDescent="0.3">
      <c r="A1714" s="335">
        <v>41697</v>
      </c>
      <c r="B1714">
        <v>47.898479000000002</v>
      </c>
      <c r="C1714" s="334">
        <f t="shared" si="26"/>
        <v>3.3783632704134078E-2</v>
      </c>
    </row>
    <row r="1715" spans="1:3" x14ac:dyDescent="0.3">
      <c r="A1715" s="335">
        <v>41698</v>
      </c>
      <c r="B1715">
        <v>48.681140999999997</v>
      </c>
      <c r="C1715" s="334">
        <f t="shared" si="26"/>
        <v>1.6340017811421418E-2</v>
      </c>
    </row>
    <row r="1716" spans="1:3" x14ac:dyDescent="0.3">
      <c r="A1716" s="335">
        <v>41701</v>
      </c>
      <c r="B1716">
        <v>47.741954999999997</v>
      </c>
      <c r="C1716" s="334">
        <f t="shared" si="26"/>
        <v>-1.9292604501607705E-2</v>
      </c>
    </row>
    <row r="1717" spans="1:3" x14ac:dyDescent="0.3">
      <c r="A1717" s="335">
        <v>41702</v>
      </c>
      <c r="B1717">
        <v>48.211548000000001</v>
      </c>
      <c r="C1717" s="334">
        <f t="shared" si="26"/>
        <v>9.8360655737705603E-3</v>
      </c>
    </row>
    <row r="1718" spans="1:3" x14ac:dyDescent="0.3">
      <c r="A1718" s="335">
        <v>41703</v>
      </c>
      <c r="B1718">
        <v>48.055011999999998</v>
      </c>
      <c r="C1718" s="334">
        <f t="shared" si="26"/>
        <v>-3.2468569563458669E-3</v>
      </c>
    </row>
    <row r="1719" spans="1:3" x14ac:dyDescent="0.3">
      <c r="A1719" s="335">
        <v>41704</v>
      </c>
      <c r="B1719">
        <v>48.211548000000001</v>
      </c>
      <c r="C1719" s="334">
        <f t="shared" si="26"/>
        <v>3.2574333765643983E-3</v>
      </c>
    </row>
    <row r="1720" spans="1:3" x14ac:dyDescent="0.3">
      <c r="A1720" s="335">
        <v>41705</v>
      </c>
      <c r="B1720">
        <v>48.524600999999997</v>
      </c>
      <c r="C1720" s="334">
        <f t="shared" si="26"/>
        <v>6.4933198162398032E-3</v>
      </c>
    </row>
    <row r="1721" spans="1:3" x14ac:dyDescent="0.3">
      <c r="A1721" s="335">
        <v>41708</v>
      </c>
      <c r="B1721">
        <v>48.681140999999997</v>
      </c>
      <c r="C1721" s="334">
        <f t="shared" si="26"/>
        <v>3.225992522844231E-3</v>
      </c>
    </row>
    <row r="1722" spans="1:3" x14ac:dyDescent="0.3">
      <c r="A1722" s="335">
        <v>41709</v>
      </c>
      <c r="B1722">
        <v>48.994194</v>
      </c>
      <c r="C1722" s="334">
        <f t="shared" si="26"/>
        <v>6.4306832906813665E-3</v>
      </c>
    </row>
    <row r="1723" spans="1:3" x14ac:dyDescent="0.3">
      <c r="A1723" s="335">
        <v>41710</v>
      </c>
      <c r="B1723">
        <v>49.150734</v>
      </c>
      <c r="C1723" s="334">
        <f t="shared" si="26"/>
        <v>3.1950724610348663E-3</v>
      </c>
    </row>
    <row r="1724" spans="1:3" x14ac:dyDescent="0.3">
      <c r="A1724" s="335">
        <v>41711</v>
      </c>
      <c r="B1724">
        <v>48.368084000000003</v>
      </c>
      <c r="C1724" s="334">
        <f t="shared" si="26"/>
        <v>-1.592346515110022E-2</v>
      </c>
    </row>
    <row r="1725" spans="1:3" x14ac:dyDescent="0.3">
      <c r="A1725" s="335">
        <v>41712</v>
      </c>
      <c r="B1725">
        <v>47.428890000000003</v>
      </c>
      <c r="C1725" s="334">
        <f t="shared" si="26"/>
        <v>-1.9417639119217549E-2</v>
      </c>
    </row>
    <row r="1726" spans="1:3" x14ac:dyDescent="0.3">
      <c r="A1726" s="335">
        <v>41715</v>
      </c>
      <c r="B1726">
        <v>48.211548000000001</v>
      </c>
      <c r="C1726" s="334">
        <f t="shared" si="26"/>
        <v>1.6501714461375709E-2</v>
      </c>
    </row>
    <row r="1727" spans="1:3" x14ac:dyDescent="0.3">
      <c r="A1727" s="335">
        <v>41716</v>
      </c>
      <c r="B1727">
        <v>48.368084000000003</v>
      </c>
      <c r="C1727" s="334">
        <f t="shared" si="26"/>
        <v>3.2468569563458669E-3</v>
      </c>
    </row>
    <row r="1728" spans="1:3" x14ac:dyDescent="0.3">
      <c r="A1728" s="335">
        <v>41717</v>
      </c>
      <c r="B1728">
        <v>48.368084000000003</v>
      </c>
      <c r="C1728" s="334">
        <f t="shared" si="26"/>
        <v>0</v>
      </c>
    </row>
    <row r="1729" spans="1:3" x14ac:dyDescent="0.3">
      <c r="A1729" s="335">
        <v>41718</v>
      </c>
      <c r="B1729">
        <v>48.368084000000003</v>
      </c>
      <c r="C1729" s="334">
        <f t="shared" si="26"/>
        <v>0</v>
      </c>
    </row>
    <row r="1730" spans="1:3" x14ac:dyDescent="0.3">
      <c r="A1730" s="335">
        <v>41719</v>
      </c>
      <c r="B1730">
        <v>49.150734</v>
      </c>
      <c r="C1730" s="334">
        <f t="shared" si="26"/>
        <v>1.6181124726792912E-2</v>
      </c>
    </row>
    <row r="1731" spans="1:3" x14ac:dyDescent="0.3">
      <c r="A1731" s="335">
        <v>41722</v>
      </c>
      <c r="B1731">
        <v>49.150734</v>
      </c>
      <c r="C1731" s="334">
        <f t="shared" si="26"/>
        <v>0</v>
      </c>
    </row>
    <row r="1732" spans="1:3" x14ac:dyDescent="0.3">
      <c r="A1732" s="335">
        <v>41723</v>
      </c>
      <c r="B1732">
        <v>49.776851999999998</v>
      </c>
      <c r="C1732" s="334">
        <f t="shared" si="26"/>
        <v>1.2738731429727951E-2</v>
      </c>
    </row>
    <row r="1733" spans="1:3" x14ac:dyDescent="0.3">
      <c r="A1733" s="335">
        <v>41724</v>
      </c>
      <c r="B1733">
        <v>52.281357</v>
      </c>
      <c r="C1733" s="334">
        <f t="shared" si="26"/>
        <v>5.0314652280542008E-2</v>
      </c>
    </row>
    <row r="1734" spans="1:3" x14ac:dyDescent="0.3">
      <c r="A1734" s="335">
        <v>41725</v>
      </c>
      <c r="B1734">
        <v>51.655228000000001</v>
      </c>
      <c r="C1734" s="334">
        <f t="shared" ref="C1734:C1797" si="27">(B1734-B1733)/B1733</f>
        <v>-1.1976142853369296E-2</v>
      </c>
    </row>
    <row r="1735" spans="1:3" x14ac:dyDescent="0.3">
      <c r="A1735" s="335">
        <v>41726</v>
      </c>
      <c r="B1735">
        <v>52.750950000000003</v>
      </c>
      <c r="C1735" s="334">
        <f t="shared" si="27"/>
        <v>2.1212218829040928E-2</v>
      </c>
    </row>
    <row r="1736" spans="1:3" x14ac:dyDescent="0.3">
      <c r="A1736" s="335">
        <v>41729</v>
      </c>
      <c r="B1736">
        <v>53.690131999999998</v>
      </c>
      <c r="C1736" s="334">
        <f t="shared" si="27"/>
        <v>1.7804077462111968E-2</v>
      </c>
    </row>
    <row r="1737" spans="1:3" x14ac:dyDescent="0.3">
      <c r="A1737" s="335">
        <v>41730</v>
      </c>
      <c r="B1737">
        <v>54.003197</v>
      </c>
      <c r="C1737" s="334">
        <f t="shared" si="27"/>
        <v>5.8309597748800786E-3</v>
      </c>
    </row>
    <row r="1738" spans="1:3" x14ac:dyDescent="0.3">
      <c r="A1738" s="335">
        <v>41731</v>
      </c>
      <c r="B1738">
        <v>53.690131999999998</v>
      </c>
      <c r="C1738" s="334">
        <f t="shared" si="27"/>
        <v>-5.7971567868472995E-3</v>
      </c>
    </row>
    <row r="1739" spans="1:3" x14ac:dyDescent="0.3">
      <c r="A1739" s="335">
        <v>41732</v>
      </c>
      <c r="B1739">
        <v>52.594414</v>
      </c>
      <c r="C1739" s="334">
        <f t="shared" si="27"/>
        <v>-2.0408182270812782E-2</v>
      </c>
    </row>
    <row r="1740" spans="1:3" x14ac:dyDescent="0.3">
      <c r="A1740" s="335">
        <v>41733</v>
      </c>
      <c r="B1740">
        <v>52.124820999999997</v>
      </c>
      <c r="C1740" s="334">
        <f t="shared" si="27"/>
        <v>-8.9285717680969556E-3</v>
      </c>
    </row>
    <row r="1741" spans="1:3" x14ac:dyDescent="0.3">
      <c r="A1741" s="335">
        <v>41736</v>
      </c>
      <c r="B1741">
        <v>51.968288000000001</v>
      </c>
      <c r="C1741" s="334">
        <f t="shared" si="27"/>
        <v>-3.0030414876627788E-3</v>
      </c>
    </row>
    <row r="1742" spans="1:3" x14ac:dyDescent="0.3">
      <c r="A1742" s="335">
        <v>41737</v>
      </c>
      <c r="B1742">
        <v>51.498691999999998</v>
      </c>
      <c r="C1742" s="334">
        <f t="shared" si="27"/>
        <v>-9.0362030013381011E-3</v>
      </c>
    </row>
    <row r="1743" spans="1:3" x14ac:dyDescent="0.3">
      <c r="A1743" s="335">
        <v>41738</v>
      </c>
      <c r="B1743">
        <v>51.029099000000002</v>
      </c>
      <c r="C1743" s="334">
        <f t="shared" si="27"/>
        <v>-9.1185422728793999E-3</v>
      </c>
    </row>
    <row r="1744" spans="1:3" x14ac:dyDescent="0.3">
      <c r="A1744" s="335">
        <v>41739</v>
      </c>
      <c r="B1744">
        <v>51.342167000000003</v>
      </c>
      <c r="C1744" s="334">
        <f t="shared" si="27"/>
        <v>6.1350877466992164E-3</v>
      </c>
    </row>
    <row r="1745" spans="1:3" x14ac:dyDescent="0.3">
      <c r="A1745" s="335">
        <v>41740</v>
      </c>
      <c r="B1745">
        <v>50.402973000000003</v>
      </c>
      <c r="C1745" s="334">
        <f t="shared" si="27"/>
        <v>-1.8292839100461041E-2</v>
      </c>
    </row>
    <row r="1746" spans="1:3" x14ac:dyDescent="0.3">
      <c r="A1746" s="335">
        <v>41743</v>
      </c>
      <c r="B1746">
        <v>51.185631000000001</v>
      </c>
      <c r="C1746" s="334">
        <f t="shared" si="27"/>
        <v>1.5528012603542212E-2</v>
      </c>
    </row>
    <row r="1747" spans="1:3" x14ac:dyDescent="0.3">
      <c r="A1747" s="335">
        <v>41744</v>
      </c>
      <c r="B1747">
        <v>50.402973000000003</v>
      </c>
      <c r="C1747" s="334">
        <f t="shared" si="27"/>
        <v>-1.5290580280235245E-2</v>
      </c>
    </row>
    <row r="1748" spans="1:3" x14ac:dyDescent="0.3">
      <c r="A1748" s="335">
        <v>41745</v>
      </c>
      <c r="B1748">
        <v>51.029099000000002</v>
      </c>
      <c r="C1748" s="334">
        <f t="shared" si="27"/>
        <v>1.2422402146793986E-2</v>
      </c>
    </row>
    <row r="1749" spans="1:3" x14ac:dyDescent="0.3">
      <c r="A1749" s="335">
        <v>41751</v>
      </c>
      <c r="B1749">
        <v>52.750950000000003</v>
      </c>
      <c r="C1749" s="334">
        <f t="shared" si="27"/>
        <v>3.3742531883621946E-2</v>
      </c>
    </row>
    <row r="1750" spans="1:3" x14ac:dyDescent="0.3">
      <c r="A1750" s="335">
        <v>41752</v>
      </c>
      <c r="B1750">
        <v>51.968288000000001</v>
      </c>
      <c r="C1750" s="334">
        <f t="shared" si="27"/>
        <v>-1.4836927107473931E-2</v>
      </c>
    </row>
    <row r="1751" spans="1:3" x14ac:dyDescent="0.3">
      <c r="A1751" s="335">
        <v>41753</v>
      </c>
      <c r="B1751">
        <v>52.281357</v>
      </c>
      <c r="C1751" s="334">
        <f t="shared" si="27"/>
        <v>6.0242315467463293E-3</v>
      </c>
    </row>
    <row r="1752" spans="1:3" x14ac:dyDescent="0.3">
      <c r="A1752" s="335">
        <v>41754</v>
      </c>
      <c r="B1752">
        <v>52.281357</v>
      </c>
      <c r="C1752" s="334">
        <f t="shared" si="27"/>
        <v>0</v>
      </c>
    </row>
    <row r="1753" spans="1:3" x14ac:dyDescent="0.3">
      <c r="A1753" s="335">
        <v>41757</v>
      </c>
      <c r="B1753">
        <v>52.594414</v>
      </c>
      <c r="C1753" s="334">
        <f t="shared" si="27"/>
        <v>5.9879279721067793E-3</v>
      </c>
    </row>
    <row r="1754" spans="1:3" x14ac:dyDescent="0.3">
      <c r="A1754" s="335">
        <v>41758</v>
      </c>
      <c r="B1754">
        <v>53.064011000000001</v>
      </c>
      <c r="C1754" s="334">
        <f t="shared" si="27"/>
        <v>8.9286478218010053E-3</v>
      </c>
    </row>
    <row r="1755" spans="1:3" x14ac:dyDescent="0.3">
      <c r="A1755" s="335">
        <v>41759</v>
      </c>
      <c r="B1755">
        <v>53.846657</v>
      </c>
      <c r="C1755" s="334">
        <f t="shared" si="27"/>
        <v>1.4749092374490871E-2</v>
      </c>
    </row>
    <row r="1756" spans="1:3" x14ac:dyDescent="0.3">
      <c r="A1756" s="335">
        <v>41761</v>
      </c>
      <c r="B1756">
        <v>53.377074999999998</v>
      </c>
      <c r="C1756" s="334">
        <f t="shared" si="27"/>
        <v>-8.7207270824631242E-3</v>
      </c>
    </row>
    <row r="1757" spans="1:3" x14ac:dyDescent="0.3">
      <c r="A1757" s="335">
        <v>41764</v>
      </c>
      <c r="B1757">
        <v>52.437880999999997</v>
      </c>
      <c r="C1757" s="334">
        <f t="shared" si="27"/>
        <v>-1.759545647639929E-2</v>
      </c>
    </row>
    <row r="1758" spans="1:3" x14ac:dyDescent="0.3">
      <c r="A1758" s="335">
        <v>41765</v>
      </c>
      <c r="B1758">
        <v>52.750950000000003</v>
      </c>
      <c r="C1758" s="334">
        <f t="shared" si="27"/>
        <v>5.9702832004215776E-3</v>
      </c>
    </row>
    <row r="1759" spans="1:3" x14ac:dyDescent="0.3">
      <c r="A1759" s="335">
        <v>41766</v>
      </c>
      <c r="B1759">
        <v>53.846657</v>
      </c>
      <c r="C1759" s="334">
        <f t="shared" si="27"/>
        <v>2.0771322601772998E-2</v>
      </c>
    </row>
    <row r="1760" spans="1:3" x14ac:dyDescent="0.3">
      <c r="A1760" s="335">
        <v>41767</v>
      </c>
      <c r="B1760">
        <v>53.533607000000003</v>
      </c>
      <c r="C1760" s="334">
        <f t="shared" si="27"/>
        <v>-5.8137313891184917E-3</v>
      </c>
    </row>
    <row r="1761" spans="1:3" x14ac:dyDescent="0.3">
      <c r="A1761" s="335">
        <v>41768</v>
      </c>
      <c r="B1761">
        <v>53.377074999999998</v>
      </c>
      <c r="C1761" s="334">
        <f t="shared" si="27"/>
        <v>-2.9239950149446432E-3</v>
      </c>
    </row>
    <row r="1762" spans="1:3" x14ac:dyDescent="0.3">
      <c r="A1762" s="335">
        <v>41771</v>
      </c>
      <c r="B1762">
        <v>54.629325999999999</v>
      </c>
      <c r="C1762" s="334">
        <f t="shared" si="27"/>
        <v>2.3460465002999906E-2</v>
      </c>
    </row>
    <row r="1763" spans="1:3" x14ac:dyDescent="0.3">
      <c r="A1763" s="335">
        <v>41772</v>
      </c>
      <c r="B1763">
        <v>54.785846999999997</v>
      </c>
      <c r="C1763" s="334">
        <f t="shared" si="27"/>
        <v>2.8651460938763536E-3</v>
      </c>
    </row>
    <row r="1764" spans="1:3" x14ac:dyDescent="0.3">
      <c r="A1764" s="335">
        <v>41773</v>
      </c>
      <c r="B1764">
        <v>56.351157999999998</v>
      </c>
      <c r="C1764" s="334">
        <f t="shared" si="27"/>
        <v>2.8571448388851253E-2</v>
      </c>
    </row>
    <row r="1765" spans="1:3" x14ac:dyDescent="0.3">
      <c r="A1765" s="335">
        <v>41774</v>
      </c>
      <c r="B1765">
        <v>57.290348000000002</v>
      </c>
      <c r="C1765" s="334">
        <f t="shared" si="27"/>
        <v>1.6666738241652525E-2</v>
      </c>
    </row>
    <row r="1766" spans="1:3" x14ac:dyDescent="0.3">
      <c r="A1766" s="335">
        <v>41775</v>
      </c>
      <c r="B1766">
        <v>56.351157999999998</v>
      </c>
      <c r="C1766" s="334">
        <f t="shared" si="27"/>
        <v>-1.6393511870446371E-2</v>
      </c>
    </row>
    <row r="1767" spans="1:3" x14ac:dyDescent="0.3">
      <c r="A1767" s="335">
        <v>41778</v>
      </c>
      <c r="B1767">
        <v>56.351157999999998</v>
      </c>
      <c r="C1767" s="334">
        <f t="shared" si="27"/>
        <v>0</v>
      </c>
    </row>
    <row r="1768" spans="1:3" x14ac:dyDescent="0.3">
      <c r="A1768" s="335">
        <v>41779</v>
      </c>
      <c r="B1768">
        <v>56.664223</v>
      </c>
      <c r="C1768" s="334">
        <f t="shared" si="27"/>
        <v>5.555608990324595E-3</v>
      </c>
    </row>
    <row r="1769" spans="1:3" x14ac:dyDescent="0.3">
      <c r="A1769" s="335">
        <v>41780</v>
      </c>
      <c r="B1769">
        <v>57.916466</v>
      </c>
      <c r="C1769" s="334">
        <f t="shared" si="27"/>
        <v>2.2099358884705787E-2</v>
      </c>
    </row>
    <row r="1770" spans="1:3" x14ac:dyDescent="0.3">
      <c r="A1770" s="335">
        <v>41781</v>
      </c>
      <c r="B1770">
        <v>58.229529999999997</v>
      </c>
      <c r="C1770" s="334">
        <f t="shared" si="27"/>
        <v>5.4054403112233597E-3</v>
      </c>
    </row>
    <row r="1771" spans="1:3" x14ac:dyDescent="0.3">
      <c r="A1771" s="335">
        <v>41782</v>
      </c>
      <c r="B1771">
        <v>58.542594999999999</v>
      </c>
      <c r="C1771" s="334">
        <f t="shared" si="27"/>
        <v>5.376395790932912E-3</v>
      </c>
    </row>
    <row r="1772" spans="1:3" x14ac:dyDescent="0.3">
      <c r="A1772" s="335">
        <v>41785</v>
      </c>
      <c r="B1772">
        <v>58.073005999999999</v>
      </c>
      <c r="C1772" s="334">
        <f t="shared" si="27"/>
        <v>-8.0213219109948782E-3</v>
      </c>
    </row>
    <row r="1773" spans="1:3" x14ac:dyDescent="0.3">
      <c r="A1773" s="335">
        <v>41786</v>
      </c>
      <c r="B1773">
        <v>58.229529999999997</v>
      </c>
      <c r="C1773" s="334">
        <f t="shared" si="27"/>
        <v>2.695297019754711E-3</v>
      </c>
    </row>
    <row r="1774" spans="1:3" x14ac:dyDescent="0.3">
      <c r="A1774" s="335">
        <v>41787</v>
      </c>
      <c r="B1774">
        <v>58.542594999999999</v>
      </c>
      <c r="C1774" s="334">
        <f t="shared" si="27"/>
        <v>5.376395790932912E-3</v>
      </c>
    </row>
    <row r="1775" spans="1:3" x14ac:dyDescent="0.3">
      <c r="A1775" s="335">
        <v>41789</v>
      </c>
      <c r="B1775">
        <v>59.481780999999998</v>
      </c>
      <c r="C1775" s="334">
        <f t="shared" si="27"/>
        <v>1.6042780474627056E-2</v>
      </c>
    </row>
    <row r="1776" spans="1:3" x14ac:dyDescent="0.3">
      <c r="A1776" s="335">
        <v>41792</v>
      </c>
      <c r="B1776">
        <v>60.420963</v>
      </c>
      <c r="C1776" s="334">
        <f t="shared" si="27"/>
        <v>1.5789406171277932E-2</v>
      </c>
    </row>
    <row r="1777" spans="1:3" x14ac:dyDescent="0.3">
      <c r="A1777" s="335">
        <v>41793</v>
      </c>
      <c r="B1777">
        <v>60.734015999999997</v>
      </c>
      <c r="C1777" s="334">
        <f t="shared" si="27"/>
        <v>5.1811984525966005E-3</v>
      </c>
    </row>
    <row r="1778" spans="1:3" x14ac:dyDescent="0.3">
      <c r="A1778" s="335">
        <v>41794</v>
      </c>
      <c r="B1778">
        <v>61.360152999999997</v>
      </c>
      <c r="C1778" s="334">
        <f t="shared" si="27"/>
        <v>1.0309494435540044E-2</v>
      </c>
    </row>
    <row r="1779" spans="1:3" x14ac:dyDescent="0.3">
      <c r="A1779" s="335">
        <v>41795</v>
      </c>
      <c r="B1779">
        <v>61.871482999999998</v>
      </c>
      <c r="C1779" s="334">
        <f t="shared" si="27"/>
        <v>8.333258230304624E-3</v>
      </c>
    </row>
    <row r="1780" spans="1:3" x14ac:dyDescent="0.3">
      <c r="A1780" s="335">
        <v>41796</v>
      </c>
      <c r="B1780">
        <v>61.871482999999998</v>
      </c>
      <c r="C1780" s="334">
        <f t="shared" si="27"/>
        <v>0</v>
      </c>
    </row>
    <row r="1781" spans="1:3" x14ac:dyDescent="0.3">
      <c r="A1781" s="335">
        <v>41800</v>
      </c>
      <c r="B1781">
        <v>61.360149</v>
      </c>
      <c r="C1781" s="334">
        <f t="shared" si="27"/>
        <v>-8.2644535932652197E-3</v>
      </c>
    </row>
    <row r="1782" spans="1:3" x14ac:dyDescent="0.3">
      <c r="A1782" s="335">
        <v>41801</v>
      </c>
      <c r="B1782">
        <v>63.064597999999997</v>
      </c>
      <c r="C1782" s="334">
        <f t="shared" si="27"/>
        <v>2.7777784568287094E-2</v>
      </c>
    </row>
    <row r="1783" spans="1:3" x14ac:dyDescent="0.3">
      <c r="A1783" s="335">
        <v>41802</v>
      </c>
      <c r="B1783">
        <v>63.916817000000002</v>
      </c>
      <c r="C1783" s="334">
        <f t="shared" si="27"/>
        <v>1.3513429515558083E-2</v>
      </c>
    </row>
    <row r="1784" spans="1:3" x14ac:dyDescent="0.3">
      <c r="A1784" s="335">
        <v>41803</v>
      </c>
      <c r="B1784">
        <v>64.087256999999994</v>
      </c>
      <c r="C1784" s="334">
        <f t="shared" si="27"/>
        <v>2.6665908598044259E-3</v>
      </c>
    </row>
    <row r="1785" spans="1:3" x14ac:dyDescent="0.3">
      <c r="A1785" s="335">
        <v>41806</v>
      </c>
      <c r="B1785">
        <v>63.746383999999999</v>
      </c>
      <c r="C1785" s="334">
        <f t="shared" si="27"/>
        <v>-5.3188889017358769E-3</v>
      </c>
    </row>
    <row r="1786" spans="1:3" x14ac:dyDescent="0.3">
      <c r="A1786" s="335">
        <v>41807</v>
      </c>
      <c r="B1786">
        <v>66.303039999999996</v>
      </c>
      <c r="C1786" s="334">
        <f t="shared" si="27"/>
        <v>4.0106682757095627E-2</v>
      </c>
    </row>
    <row r="1787" spans="1:3" x14ac:dyDescent="0.3">
      <c r="A1787" s="335">
        <v>41808</v>
      </c>
      <c r="B1787">
        <v>68.859725999999995</v>
      </c>
      <c r="C1787" s="334">
        <f t="shared" si="27"/>
        <v>3.8560615018557211E-2</v>
      </c>
    </row>
    <row r="1788" spans="1:3" x14ac:dyDescent="0.3">
      <c r="A1788" s="335">
        <v>41809</v>
      </c>
      <c r="B1788">
        <v>70.223288999999994</v>
      </c>
      <c r="C1788" s="334">
        <f t="shared" si="27"/>
        <v>1.9802039293621343E-2</v>
      </c>
    </row>
    <row r="1789" spans="1:3" x14ac:dyDescent="0.3">
      <c r="A1789" s="335">
        <v>41810</v>
      </c>
      <c r="B1789">
        <v>70.223288999999994</v>
      </c>
      <c r="C1789" s="334">
        <f t="shared" si="27"/>
        <v>0</v>
      </c>
    </row>
    <row r="1790" spans="1:3" x14ac:dyDescent="0.3">
      <c r="A1790" s="335">
        <v>41813</v>
      </c>
      <c r="B1790">
        <v>71.586844999999997</v>
      </c>
      <c r="C1790" s="334">
        <f t="shared" si="27"/>
        <v>1.9417432869030141E-2</v>
      </c>
    </row>
    <row r="1791" spans="1:3" x14ac:dyDescent="0.3">
      <c r="A1791" s="335">
        <v>41814</v>
      </c>
      <c r="B1791">
        <v>72.268623000000005</v>
      </c>
      <c r="C1791" s="334">
        <f t="shared" si="27"/>
        <v>9.5237889028355477E-3</v>
      </c>
    </row>
    <row r="1792" spans="1:3" x14ac:dyDescent="0.3">
      <c r="A1792" s="335">
        <v>41815</v>
      </c>
      <c r="B1792">
        <v>72.609520000000003</v>
      </c>
      <c r="C1792" s="334">
        <f t="shared" si="27"/>
        <v>4.7170817133183537E-3</v>
      </c>
    </row>
    <row r="1793" spans="1:3" x14ac:dyDescent="0.3">
      <c r="A1793" s="335">
        <v>41816</v>
      </c>
      <c r="B1793">
        <v>72.609520000000003</v>
      </c>
      <c r="C1793" s="334">
        <f t="shared" si="27"/>
        <v>0</v>
      </c>
    </row>
    <row r="1794" spans="1:3" x14ac:dyDescent="0.3">
      <c r="A1794" s="335">
        <v>41817</v>
      </c>
      <c r="B1794">
        <v>72.609520000000003</v>
      </c>
      <c r="C1794" s="334">
        <f t="shared" si="27"/>
        <v>0</v>
      </c>
    </row>
    <row r="1795" spans="1:3" x14ac:dyDescent="0.3">
      <c r="A1795" s="335">
        <v>41820</v>
      </c>
      <c r="B1795">
        <v>72.950400999999999</v>
      </c>
      <c r="C1795" s="334">
        <f t="shared" si="27"/>
        <v>4.6947149629965323E-3</v>
      </c>
    </row>
    <row r="1796" spans="1:3" x14ac:dyDescent="0.3">
      <c r="A1796" s="335">
        <v>41821</v>
      </c>
      <c r="B1796">
        <v>73.973067999999998</v>
      </c>
      <c r="C1796" s="334">
        <f t="shared" si="27"/>
        <v>1.401866180283229E-2</v>
      </c>
    </row>
    <row r="1797" spans="1:3" x14ac:dyDescent="0.3">
      <c r="A1797" s="335">
        <v>41822</v>
      </c>
      <c r="B1797">
        <v>74.654854</v>
      </c>
      <c r="C1797" s="334">
        <f t="shared" si="27"/>
        <v>9.2166786971712798E-3</v>
      </c>
    </row>
    <row r="1798" spans="1:3" x14ac:dyDescent="0.3">
      <c r="A1798" s="335">
        <v>41823</v>
      </c>
      <c r="B1798">
        <v>76.018410000000003</v>
      </c>
      <c r="C1798" s="334">
        <f t="shared" ref="C1798:C1861" si="28">(B1798-B1797)/B1797</f>
        <v>1.8264800303540916E-2</v>
      </c>
    </row>
    <row r="1799" spans="1:3" x14ac:dyDescent="0.3">
      <c r="A1799" s="335">
        <v>41824</v>
      </c>
      <c r="B1799">
        <v>76.359290999999999</v>
      </c>
      <c r="C1799" s="334">
        <f t="shared" si="28"/>
        <v>4.4841900797451036E-3</v>
      </c>
    </row>
    <row r="1800" spans="1:3" x14ac:dyDescent="0.3">
      <c r="A1800" s="335">
        <v>41827</v>
      </c>
      <c r="B1800">
        <v>77.041077000000001</v>
      </c>
      <c r="C1800" s="334">
        <f t="shared" si="28"/>
        <v>8.9286580725324236E-3</v>
      </c>
    </row>
    <row r="1801" spans="1:3" x14ac:dyDescent="0.3">
      <c r="A1801" s="335">
        <v>41828</v>
      </c>
      <c r="B1801">
        <v>79.427314999999993</v>
      </c>
      <c r="C1801" s="334">
        <f t="shared" si="28"/>
        <v>3.0973580496544612E-2</v>
      </c>
    </row>
    <row r="1802" spans="1:3" x14ac:dyDescent="0.3">
      <c r="A1802" s="335">
        <v>41829</v>
      </c>
      <c r="B1802">
        <v>79.086410999999998</v>
      </c>
      <c r="C1802" s="334">
        <f t="shared" si="28"/>
        <v>-4.2920247272615827E-3</v>
      </c>
    </row>
    <row r="1803" spans="1:3" x14ac:dyDescent="0.3">
      <c r="A1803" s="335">
        <v>41830</v>
      </c>
      <c r="B1803">
        <v>77.041077000000001</v>
      </c>
      <c r="C1803" s="334">
        <f t="shared" si="28"/>
        <v>-2.586201566284247E-2</v>
      </c>
    </row>
    <row r="1804" spans="1:3" x14ac:dyDescent="0.3">
      <c r="A1804" s="335">
        <v>41831</v>
      </c>
      <c r="B1804">
        <v>76.018410000000003</v>
      </c>
      <c r="C1804" s="334">
        <f t="shared" si="28"/>
        <v>-1.3274308197950016E-2</v>
      </c>
    </row>
    <row r="1805" spans="1:3" x14ac:dyDescent="0.3">
      <c r="A1805" s="335">
        <v>41834</v>
      </c>
      <c r="B1805">
        <v>77.722854999999996</v>
      </c>
      <c r="C1805" s="334">
        <f t="shared" si="28"/>
        <v>2.2421476587052961E-2</v>
      </c>
    </row>
    <row r="1806" spans="1:3" x14ac:dyDescent="0.3">
      <c r="A1806" s="335">
        <v>41835</v>
      </c>
      <c r="B1806">
        <v>78.745514</v>
      </c>
      <c r="C1806" s="334">
        <f t="shared" si="28"/>
        <v>1.3157764212341459E-2</v>
      </c>
    </row>
    <row r="1807" spans="1:3" x14ac:dyDescent="0.3">
      <c r="A1807" s="335">
        <v>41836</v>
      </c>
      <c r="B1807">
        <v>80.449973999999997</v>
      </c>
      <c r="C1807" s="334">
        <f t="shared" si="28"/>
        <v>2.1645169526736438E-2</v>
      </c>
    </row>
    <row r="1808" spans="1:3" x14ac:dyDescent="0.3">
      <c r="A1808" s="335">
        <v>41837</v>
      </c>
      <c r="B1808">
        <v>80.449973999999997</v>
      </c>
      <c r="C1808" s="334">
        <f t="shared" si="28"/>
        <v>0</v>
      </c>
    </row>
    <row r="1809" spans="1:3" x14ac:dyDescent="0.3">
      <c r="A1809" s="335">
        <v>41838</v>
      </c>
      <c r="B1809">
        <v>80.449973999999997</v>
      </c>
      <c r="C1809" s="334">
        <f t="shared" si="28"/>
        <v>0</v>
      </c>
    </row>
    <row r="1810" spans="1:3" x14ac:dyDescent="0.3">
      <c r="A1810" s="335">
        <v>41841</v>
      </c>
      <c r="B1810">
        <v>81.813537999999994</v>
      </c>
      <c r="C1810" s="334">
        <f t="shared" si="28"/>
        <v>1.6949216167552728E-2</v>
      </c>
    </row>
    <row r="1811" spans="1:3" x14ac:dyDescent="0.3">
      <c r="A1811" s="335">
        <v>41842</v>
      </c>
      <c r="B1811">
        <v>83.517975000000007</v>
      </c>
      <c r="C1811" s="334">
        <f t="shared" si="28"/>
        <v>2.0833190223359038E-2</v>
      </c>
    </row>
    <row r="1812" spans="1:3" x14ac:dyDescent="0.3">
      <c r="A1812" s="335">
        <v>41843</v>
      </c>
      <c r="B1812">
        <v>83.177100999999993</v>
      </c>
      <c r="C1812" s="334">
        <f t="shared" si="28"/>
        <v>-4.0814447428833573E-3</v>
      </c>
    </row>
    <row r="1813" spans="1:3" x14ac:dyDescent="0.3">
      <c r="A1813" s="335">
        <v>41844</v>
      </c>
      <c r="B1813">
        <v>84.199768000000006</v>
      </c>
      <c r="C1813" s="334">
        <f t="shared" si="28"/>
        <v>1.2295054620862691E-2</v>
      </c>
    </row>
    <row r="1814" spans="1:3" x14ac:dyDescent="0.3">
      <c r="A1814" s="335">
        <v>41845</v>
      </c>
      <c r="B1814">
        <v>84.199768000000006</v>
      </c>
      <c r="C1814" s="334">
        <f t="shared" si="28"/>
        <v>0</v>
      </c>
    </row>
    <row r="1815" spans="1:3" x14ac:dyDescent="0.3">
      <c r="A1815" s="335">
        <v>41848</v>
      </c>
      <c r="B1815">
        <v>83.517975000000007</v>
      </c>
      <c r="C1815" s="334">
        <f t="shared" si="28"/>
        <v>-8.0973263489276942E-3</v>
      </c>
    </row>
    <row r="1816" spans="1:3" x14ac:dyDescent="0.3">
      <c r="A1816" s="335">
        <v>41849</v>
      </c>
      <c r="B1816">
        <v>83.858879000000002</v>
      </c>
      <c r="C1816" s="334">
        <f t="shared" si="28"/>
        <v>4.081803946994581E-3</v>
      </c>
    </row>
    <row r="1817" spans="1:3" x14ac:dyDescent="0.3">
      <c r="A1817" s="335">
        <v>41850</v>
      </c>
      <c r="B1817">
        <v>83.177100999999993</v>
      </c>
      <c r="C1817" s="334">
        <f t="shared" si="28"/>
        <v>-8.1300633651447737E-3</v>
      </c>
    </row>
    <row r="1818" spans="1:3" x14ac:dyDescent="0.3">
      <c r="A1818" s="335">
        <v>41851</v>
      </c>
      <c r="B1818">
        <v>83.858879000000002</v>
      </c>
      <c r="C1818" s="334">
        <f t="shared" si="28"/>
        <v>8.1967030805751278E-3</v>
      </c>
    </row>
    <row r="1819" spans="1:3" x14ac:dyDescent="0.3">
      <c r="A1819" s="335">
        <v>41852</v>
      </c>
      <c r="B1819">
        <v>83.517975000000007</v>
      </c>
      <c r="C1819" s="334">
        <f t="shared" si="28"/>
        <v>-4.0652105545078265E-3</v>
      </c>
    </row>
    <row r="1820" spans="1:3" x14ac:dyDescent="0.3">
      <c r="A1820" s="335">
        <v>41855</v>
      </c>
      <c r="B1820">
        <v>82.836205000000007</v>
      </c>
      <c r="C1820" s="334">
        <f t="shared" si="28"/>
        <v>-8.1631529021147856E-3</v>
      </c>
    </row>
    <row r="1821" spans="1:3" x14ac:dyDescent="0.3">
      <c r="A1821" s="335">
        <v>41856</v>
      </c>
      <c r="B1821">
        <v>83.517975000000007</v>
      </c>
      <c r="C1821" s="334">
        <f t="shared" si="28"/>
        <v>8.230338413016387E-3</v>
      </c>
    </row>
    <row r="1822" spans="1:3" x14ac:dyDescent="0.3">
      <c r="A1822" s="335">
        <v>41857</v>
      </c>
      <c r="B1822">
        <v>82.495316000000003</v>
      </c>
      <c r="C1822" s="334">
        <f t="shared" si="28"/>
        <v>-1.2244777247053754E-2</v>
      </c>
    </row>
    <row r="1823" spans="1:3" x14ac:dyDescent="0.3">
      <c r="A1823" s="335">
        <v>41858</v>
      </c>
      <c r="B1823">
        <v>74.995743000000004</v>
      </c>
      <c r="C1823" s="334">
        <f t="shared" si="28"/>
        <v>-9.0909076583208653E-2</v>
      </c>
    </row>
    <row r="1824" spans="1:3" x14ac:dyDescent="0.3">
      <c r="A1824" s="335">
        <v>41859</v>
      </c>
      <c r="B1824">
        <v>72.950400999999999</v>
      </c>
      <c r="C1824" s="334">
        <f t="shared" si="28"/>
        <v>-2.7272774669356965E-2</v>
      </c>
    </row>
    <row r="1825" spans="1:3" x14ac:dyDescent="0.3">
      <c r="A1825" s="335">
        <v>41862</v>
      </c>
      <c r="B1825">
        <v>74.313957000000002</v>
      </c>
      <c r="C1825" s="334">
        <f t="shared" si="28"/>
        <v>1.8691549070443118E-2</v>
      </c>
    </row>
    <row r="1826" spans="1:3" x14ac:dyDescent="0.3">
      <c r="A1826" s="335">
        <v>41863</v>
      </c>
      <c r="B1826">
        <v>73.291290000000004</v>
      </c>
      <c r="C1826" s="334">
        <f t="shared" si="28"/>
        <v>-1.376143918698877E-2</v>
      </c>
    </row>
    <row r="1827" spans="1:3" x14ac:dyDescent="0.3">
      <c r="A1827" s="335">
        <v>41864</v>
      </c>
      <c r="B1827">
        <v>71.245956000000007</v>
      </c>
      <c r="C1827" s="334">
        <f t="shared" si="28"/>
        <v>-2.7906917725148469E-2</v>
      </c>
    </row>
    <row r="1828" spans="1:3" x14ac:dyDescent="0.3">
      <c r="A1828" s="335">
        <v>41865</v>
      </c>
      <c r="B1828">
        <v>71.245956000000007</v>
      </c>
      <c r="C1828" s="334">
        <f t="shared" si="28"/>
        <v>0</v>
      </c>
    </row>
    <row r="1829" spans="1:3" x14ac:dyDescent="0.3">
      <c r="A1829" s="335">
        <v>41866</v>
      </c>
      <c r="B1829">
        <v>72.268623000000005</v>
      </c>
      <c r="C1829" s="334">
        <f t="shared" si="28"/>
        <v>1.4354035757482128E-2</v>
      </c>
    </row>
    <row r="1830" spans="1:3" x14ac:dyDescent="0.3">
      <c r="A1830" s="335">
        <v>41869</v>
      </c>
      <c r="B1830">
        <v>72.268623000000005</v>
      </c>
      <c r="C1830" s="334">
        <f t="shared" si="28"/>
        <v>0</v>
      </c>
    </row>
    <row r="1831" spans="1:3" x14ac:dyDescent="0.3">
      <c r="A1831" s="335">
        <v>41870</v>
      </c>
      <c r="B1831">
        <v>73.632178999999994</v>
      </c>
      <c r="C1831" s="334">
        <f t="shared" si="28"/>
        <v>1.886788406083216E-2</v>
      </c>
    </row>
    <row r="1832" spans="1:3" x14ac:dyDescent="0.3">
      <c r="A1832" s="335">
        <v>41871</v>
      </c>
      <c r="B1832">
        <v>74.654854</v>
      </c>
      <c r="C1832" s="334">
        <f t="shared" si="28"/>
        <v>1.3888968300123331E-2</v>
      </c>
    </row>
    <row r="1833" spans="1:3" x14ac:dyDescent="0.3">
      <c r="A1833" s="335">
        <v>41872</v>
      </c>
      <c r="B1833">
        <v>76.359290999999999</v>
      </c>
      <c r="C1833" s="334">
        <f t="shared" si="28"/>
        <v>2.2830893219615681E-2</v>
      </c>
    </row>
    <row r="1834" spans="1:3" x14ac:dyDescent="0.3">
      <c r="A1834" s="335">
        <v>41873</v>
      </c>
      <c r="B1834">
        <v>75.677520999999999</v>
      </c>
      <c r="C1834" s="334">
        <f t="shared" si="28"/>
        <v>-8.9284485367995391E-3</v>
      </c>
    </row>
    <row r="1835" spans="1:3" x14ac:dyDescent="0.3">
      <c r="A1835" s="335">
        <v>41876</v>
      </c>
      <c r="B1835">
        <v>76.700187999999997</v>
      </c>
      <c r="C1835" s="334">
        <f t="shared" si="28"/>
        <v>1.3513484407080386E-2</v>
      </c>
    </row>
    <row r="1836" spans="1:3" x14ac:dyDescent="0.3">
      <c r="A1836" s="335">
        <v>41877</v>
      </c>
      <c r="B1836">
        <v>80.790863000000002</v>
      </c>
      <c r="C1836" s="334">
        <f t="shared" si="28"/>
        <v>5.3333311256029838E-2</v>
      </c>
    </row>
    <row r="1837" spans="1:3" x14ac:dyDescent="0.3">
      <c r="A1837" s="335">
        <v>41878</v>
      </c>
      <c r="B1837">
        <v>78.745514</v>
      </c>
      <c r="C1837" s="334">
        <f t="shared" si="28"/>
        <v>-2.531658808991806E-2</v>
      </c>
    </row>
    <row r="1838" spans="1:3" x14ac:dyDescent="0.3">
      <c r="A1838" s="335">
        <v>41879</v>
      </c>
      <c r="B1838">
        <v>78.063744</v>
      </c>
      <c r="C1838" s="334">
        <f t="shared" si="28"/>
        <v>-8.6578900227891106E-3</v>
      </c>
    </row>
    <row r="1839" spans="1:3" x14ac:dyDescent="0.3">
      <c r="A1839" s="335">
        <v>41880</v>
      </c>
      <c r="B1839">
        <v>78.404640000000001</v>
      </c>
      <c r="C1839" s="334">
        <f t="shared" si="28"/>
        <v>4.3668927793163595E-3</v>
      </c>
    </row>
    <row r="1840" spans="1:3" x14ac:dyDescent="0.3">
      <c r="A1840" s="335">
        <v>41883</v>
      </c>
      <c r="B1840">
        <v>78.063744</v>
      </c>
      <c r="C1840" s="334">
        <f t="shared" si="28"/>
        <v>-4.3479059402606879E-3</v>
      </c>
    </row>
    <row r="1841" spans="1:3" x14ac:dyDescent="0.3">
      <c r="A1841" s="335">
        <v>41884</v>
      </c>
      <c r="B1841">
        <v>77.381966000000006</v>
      </c>
      <c r="C1841" s="334">
        <f t="shared" si="28"/>
        <v>-8.7336062180158082E-3</v>
      </c>
    </row>
    <row r="1842" spans="1:3" x14ac:dyDescent="0.3">
      <c r="A1842" s="335">
        <v>41885</v>
      </c>
      <c r="B1842">
        <v>78.404640000000001</v>
      </c>
      <c r="C1842" s="334">
        <f t="shared" si="28"/>
        <v>1.3215921652856363E-2</v>
      </c>
    </row>
    <row r="1843" spans="1:3" x14ac:dyDescent="0.3">
      <c r="A1843" s="335">
        <v>41886</v>
      </c>
      <c r="B1843">
        <v>80.109070000000003</v>
      </c>
      <c r="C1843" s="334">
        <f t="shared" si="28"/>
        <v>2.1738891983943832E-2</v>
      </c>
    </row>
    <row r="1844" spans="1:3" x14ac:dyDescent="0.3">
      <c r="A1844" s="335">
        <v>41887</v>
      </c>
      <c r="B1844">
        <v>78.745514</v>
      </c>
      <c r="C1844" s="334">
        <f t="shared" si="28"/>
        <v>-1.702124366192246E-2</v>
      </c>
    </row>
    <row r="1845" spans="1:3" x14ac:dyDescent="0.3">
      <c r="A1845" s="335">
        <v>41890</v>
      </c>
      <c r="B1845">
        <v>77.722854999999996</v>
      </c>
      <c r="C1845" s="334">
        <f t="shared" si="28"/>
        <v>-1.2986885830728141E-2</v>
      </c>
    </row>
    <row r="1846" spans="1:3" x14ac:dyDescent="0.3">
      <c r="A1846" s="335">
        <v>41891</v>
      </c>
      <c r="B1846">
        <v>75.677520999999999</v>
      </c>
      <c r="C1846" s="334">
        <f t="shared" si="28"/>
        <v>-2.6315734284336274E-2</v>
      </c>
    </row>
    <row r="1847" spans="1:3" x14ac:dyDescent="0.3">
      <c r="A1847" s="335">
        <v>41892</v>
      </c>
      <c r="B1847">
        <v>76.359290999999999</v>
      </c>
      <c r="C1847" s="334">
        <f t="shared" si="28"/>
        <v>9.0088838930123018E-3</v>
      </c>
    </row>
    <row r="1848" spans="1:3" x14ac:dyDescent="0.3">
      <c r="A1848" s="335">
        <v>41893</v>
      </c>
      <c r="B1848">
        <v>75.677520999999999</v>
      </c>
      <c r="C1848" s="334">
        <f t="shared" si="28"/>
        <v>-8.9284485367995391E-3</v>
      </c>
    </row>
    <row r="1849" spans="1:3" x14ac:dyDescent="0.3">
      <c r="A1849" s="335">
        <v>41894</v>
      </c>
      <c r="B1849">
        <v>74.995743000000004</v>
      </c>
      <c r="C1849" s="334">
        <f t="shared" si="28"/>
        <v>-9.0089896047201943E-3</v>
      </c>
    </row>
    <row r="1850" spans="1:3" x14ac:dyDescent="0.3">
      <c r="A1850" s="335">
        <v>41897</v>
      </c>
      <c r="B1850">
        <v>76.018410000000003</v>
      </c>
      <c r="C1850" s="334">
        <f t="shared" si="28"/>
        <v>1.3636333998317722E-2</v>
      </c>
    </row>
    <row r="1851" spans="1:3" x14ac:dyDescent="0.3">
      <c r="A1851" s="335">
        <v>41898</v>
      </c>
      <c r="B1851">
        <v>77.041077000000001</v>
      </c>
      <c r="C1851" s="334">
        <f t="shared" si="28"/>
        <v>1.3452885952231814E-2</v>
      </c>
    </row>
    <row r="1852" spans="1:3" x14ac:dyDescent="0.3">
      <c r="A1852" s="335">
        <v>41899</v>
      </c>
      <c r="B1852">
        <v>77.722854999999996</v>
      </c>
      <c r="C1852" s="334">
        <f t="shared" si="28"/>
        <v>8.8495387986332833E-3</v>
      </c>
    </row>
    <row r="1853" spans="1:3" x14ac:dyDescent="0.3">
      <c r="A1853" s="335">
        <v>41900</v>
      </c>
      <c r="B1853">
        <v>77.722854999999996</v>
      </c>
      <c r="C1853" s="334">
        <f t="shared" si="28"/>
        <v>0</v>
      </c>
    </row>
    <row r="1854" spans="1:3" x14ac:dyDescent="0.3">
      <c r="A1854" s="335">
        <v>41901</v>
      </c>
      <c r="B1854">
        <v>78.063744</v>
      </c>
      <c r="C1854" s="334">
        <f t="shared" si="28"/>
        <v>4.3859557140561063E-3</v>
      </c>
    </row>
    <row r="1855" spans="1:3" x14ac:dyDescent="0.3">
      <c r="A1855" s="335">
        <v>41904</v>
      </c>
      <c r="B1855">
        <v>77.381966000000006</v>
      </c>
      <c r="C1855" s="334">
        <f t="shared" si="28"/>
        <v>-8.7336062180158082E-3</v>
      </c>
    </row>
    <row r="1856" spans="1:3" x14ac:dyDescent="0.3">
      <c r="A1856" s="335">
        <v>41905</v>
      </c>
      <c r="B1856">
        <v>74.995743000000004</v>
      </c>
      <c r="C1856" s="334">
        <f t="shared" si="28"/>
        <v>-3.083693944917348E-2</v>
      </c>
    </row>
    <row r="1857" spans="1:3" x14ac:dyDescent="0.3">
      <c r="A1857" s="335">
        <v>41906</v>
      </c>
      <c r="B1857">
        <v>76.018410000000003</v>
      </c>
      <c r="C1857" s="334">
        <f t="shared" si="28"/>
        <v>1.3636333998317722E-2</v>
      </c>
    </row>
    <row r="1858" spans="1:3" x14ac:dyDescent="0.3">
      <c r="A1858" s="335">
        <v>41907</v>
      </c>
      <c r="B1858">
        <v>76.700187999999997</v>
      </c>
      <c r="C1858" s="334">
        <f t="shared" si="28"/>
        <v>8.9685906348211473E-3</v>
      </c>
    </row>
    <row r="1859" spans="1:3" x14ac:dyDescent="0.3">
      <c r="A1859" s="335">
        <v>41908</v>
      </c>
      <c r="B1859">
        <v>76.700187999999997</v>
      </c>
      <c r="C1859" s="334">
        <f t="shared" si="28"/>
        <v>0</v>
      </c>
    </row>
    <row r="1860" spans="1:3" x14ac:dyDescent="0.3">
      <c r="A1860" s="335">
        <v>41911</v>
      </c>
      <c r="B1860">
        <v>75.677520999999999</v>
      </c>
      <c r="C1860" s="334">
        <f t="shared" si="28"/>
        <v>-1.3333304997896466E-2</v>
      </c>
    </row>
    <row r="1861" spans="1:3" x14ac:dyDescent="0.3">
      <c r="A1861" s="335">
        <v>41912</v>
      </c>
      <c r="B1861">
        <v>77.381966000000006</v>
      </c>
      <c r="C1861" s="334">
        <f t="shared" si="28"/>
        <v>2.2522474011800769E-2</v>
      </c>
    </row>
    <row r="1862" spans="1:3" x14ac:dyDescent="0.3">
      <c r="A1862" s="335">
        <v>41913</v>
      </c>
      <c r="B1862">
        <v>77.381966000000006</v>
      </c>
      <c r="C1862" s="334">
        <f t="shared" ref="C1862:C1925" si="29">(B1862-B1861)/B1861</f>
        <v>0</v>
      </c>
    </row>
    <row r="1863" spans="1:3" x14ac:dyDescent="0.3">
      <c r="A1863" s="335">
        <v>41914</v>
      </c>
      <c r="B1863">
        <v>73.291290000000004</v>
      </c>
      <c r="C1863" s="334">
        <f t="shared" si="29"/>
        <v>-5.2863428153272843E-2</v>
      </c>
    </row>
    <row r="1864" spans="1:3" x14ac:dyDescent="0.3">
      <c r="A1864" s="335">
        <v>41915</v>
      </c>
      <c r="B1864">
        <v>73.632178999999994</v>
      </c>
      <c r="C1864" s="334">
        <f t="shared" si="29"/>
        <v>4.651152954191282E-3</v>
      </c>
    </row>
    <row r="1865" spans="1:3" x14ac:dyDescent="0.3">
      <c r="A1865" s="335">
        <v>41918</v>
      </c>
      <c r="B1865">
        <v>74.654854</v>
      </c>
      <c r="C1865" s="334">
        <f t="shared" si="29"/>
        <v>1.3888968300123331E-2</v>
      </c>
    </row>
    <row r="1866" spans="1:3" x14ac:dyDescent="0.3">
      <c r="A1866" s="335">
        <v>41919</v>
      </c>
      <c r="B1866">
        <v>73.973067999999998</v>
      </c>
      <c r="C1866" s="334">
        <f t="shared" si="29"/>
        <v>-9.132507311580872E-3</v>
      </c>
    </row>
    <row r="1867" spans="1:3" x14ac:dyDescent="0.3">
      <c r="A1867" s="335">
        <v>41920</v>
      </c>
      <c r="B1867">
        <v>73.973067999999998</v>
      </c>
      <c r="C1867" s="334">
        <f t="shared" si="29"/>
        <v>0</v>
      </c>
    </row>
    <row r="1868" spans="1:3" x14ac:dyDescent="0.3">
      <c r="A1868" s="335">
        <v>41921</v>
      </c>
      <c r="B1868">
        <v>72.268623000000005</v>
      </c>
      <c r="C1868" s="334">
        <f t="shared" si="29"/>
        <v>-2.3041426374258166E-2</v>
      </c>
    </row>
    <row r="1869" spans="1:3" x14ac:dyDescent="0.3">
      <c r="A1869" s="335">
        <v>41922</v>
      </c>
      <c r="B1869">
        <v>72.268623000000005</v>
      </c>
      <c r="C1869" s="334">
        <f t="shared" si="29"/>
        <v>0</v>
      </c>
    </row>
    <row r="1870" spans="1:3" x14ac:dyDescent="0.3">
      <c r="A1870" s="335">
        <v>41925</v>
      </c>
      <c r="B1870">
        <v>71.927734000000001</v>
      </c>
      <c r="C1870" s="334">
        <f t="shared" si="29"/>
        <v>-4.7169710152081381E-3</v>
      </c>
    </row>
    <row r="1871" spans="1:3" x14ac:dyDescent="0.3">
      <c r="A1871" s="335">
        <v>41926</v>
      </c>
      <c r="B1871">
        <v>73.973067999999998</v>
      </c>
      <c r="C1871" s="334">
        <f t="shared" si="29"/>
        <v>2.8435957679411906E-2</v>
      </c>
    </row>
    <row r="1872" spans="1:3" x14ac:dyDescent="0.3">
      <c r="A1872" s="335">
        <v>41927</v>
      </c>
      <c r="B1872">
        <v>73.291290000000004</v>
      </c>
      <c r="C1872" s="334">
        <f t="shared" si="29"/>
        <v>-9.2165705497032277E-3</v>
      </c>
    </row>
    <row r="1873" spans="1:3" x14ac:dyDescent="0.3">
      <c r="A1873" s="335">
        <v>41928</v>
      </c>
      <c r="B1873">
        <v>70.905067000000003</v>
      </c>
      <c r="C1873" s="334">
        <f t="shared" si="29"/>
        <v>-3.2558070679339947E-2</v>
      </c>
    </row>
    <row r="1874" spans="1:3" x14ac:dyDescent="0.3">
      <c r="A1874" s="335">
        <v>41929</v>
      </c>
      <c r="B1874">
        <v>73.973067999999998</v>
      </c>
      <c r="C1874" s="334">
        <f t="shared" si="29"/>
        <v>4.3269136181762514E-2</v>
      </c>
    </row>
    <row r="1875" spans="1:3" x14ac:dyDescent="0.3">
      <c r="A1875" s="335">
        <v>41932</v>
      </c>
      <c r="B1875">
        <v>76.018410000000003</v>
      </c>
      <c r="C1875" s="334">
        <f t="shared" si="29"/>
        <v>2.7649819796577928E-2</v>
      </c>
    </row>
    <row r="1876" spans="1:3" x14ac:dyDescent="0.3">
      <c r="A1876" s="335">
        <v>41933</v>
      </c>
      <c r="B1876">
        <v>78.404640000000001</v>
      </c>
      <c r="C1876" s="334">
        <f t="shared" si="29"/>
        <v>3.1390159304831522E-2</v>
      </c>
    </row>
    <row r="1877" spans="1:3" x14ac:dyDescent="0.3">
      <c r="A1877" s="335">
        <v>41934</v>
      </c>
      <c r="B1877">
        <v>82.495316000000003</v>
      </c>
      <c r="C1877" s="334">
        <f t="shared" si="29"/>
        <v>5.2173901952741596E-2</v>
      </c>
    </row>
    <row r="1878" spans="1:3" x14ac:dyDescent="0.3">
      <c r="A1878" s="335">
        <v>41935</v>
      </c>
      <c r="B1878">
        <v>82.154419000000004</v>
      </c>
      <c r="C1878" s="334">
        <f t="shared" si="29"/>
        <v>-4.1323194640529434E-3</v>
      </c>
    </row>
    <row r="1879" spans="1:3" x14ac:dyDescent="0.3">
      <c r="A1879" s="335">
        <v>41936</v>
      </c>
      <c r="B1879">
        <v>82.495316000000003</v>
      </c>
      <c r="C1879" s="334">
        <f t="shared" si="29"/>
        <v>4.1494663847601214E-3</v>
      </c>
    </row>
    <row r="1880" spans="1:3" x14ac:dyDescent="0.3">
      <c r="A1880" s="335">
        <v>41939</v>
      </c>
      <c r="B1880">
        <v>81.813537999999994</v>
      </c>
      <c r="C1880" s="334">
        <f t="shared" si="29"/>
        <v>-8.2644449777004112E-3</v>
      </c>
    </row>
    <row r="1881" spans="1:3" x14ac:dyDescent="0.3">
      <c r="A1881" s="335">
        <v>41940</v>
      </c>
      <c r="B1881">
        <v>82.154419000000004</v>
      </c>
      <c r="C1881" s="334">
        <f t="shared" si="29"/>
        <v>4.1665598180097071E-3</v>
      </c>
    </row>
    <row r="1882" spans="1:3" x14ac:dyDescent="0.3">
      <c r="A1882" s="335">
        <v>41941</v>
      </c>
      <c r="B1882">
        <v>81.813537999999994</v>
      </c>
      <c r="C1882" s="334">
        <f t="shared" si="29"/>
        <v>-4.1492716295639578E-3</v>
      </c>
    </row>
    <row r="1883" spans="1:3" x14ac:dyDescent="0.3">
      <c r="A1883" s="335">
        <v>41942</v>
      </c>
      <c r="B1883">
        <v>81.131743999999998</v>
      </c>
      <c r="C1883" s="334">
        <f t="shared" si="29"/>
        <v>-8.3335107693300898E-3</v>
      </c>
    </row>
    <row r="1884" spans="1:3" x14ac:dyDescent="0.3">
      <c r="A1884" s="335">
        <v>41943</v>
      </c>
      <c r="B1884">
        <v>82.836205000000007</v>
      </c>
      <c r="C1884" s="334">
        <f t="shared" si="29"/>
        <v>2.1008558622874041E-2</v>
      </c>
    </row>
    <row r="1885" spans="1:3" x14ac:dyDescent="0.3">
      <c r="A1885" s="335">
        <v>41946</v>
      </c>
      <c r="B1885">
        <v>84.540656999999996</v>
      </c>
      <c r="C1885" s="334">
        <f t="shared" si="29"/>
        <v>2.0576171976975394E-2</v>
      </c>
    </row>
    <row r="1886" spans="1:3" x14ac:dyDescent="0.3">
      <c r="A1886" s="335">
        <v>41947</v>
      </c>
      <c r="B1886">
        <v>85.563323999999994</v>
      </c>
      <c r="C1886" s="334">
        <f t="shared" si="29"/>
        <v>1.2096747722223149E-2</v>
      </c>
    </row>
    <row r="1887" spans="1:3" x14ac:dyDescent="0.3">
      <c r="A1887" s="335">
        <v>41948</v>
      </c>
      <c r="B1887">
        <v>86.245102000000003</v>
      </c>
      <c r="C1887" s="334">
        <f t="shared" si="29"/>
        <v>7.9681102618220923E-3</v>
      </c>
    </row>
    <row r="1888" spans="1:3" x14ac:dyDescent="0.3">
      <c r="A1888" s="335">
        <v>41949</v>
      </c>
      <c r="B1888">
        <v>86.245102000000003</v>
      </c>
      <c r="C1888" s="334">
        <f t="shared" si="29"/>
        <v>0</v>
      </c>
    </row>
    <row r="1889" spans="1:3" x14ac:dyDescent="0.3">
      <c r="A1889" s="335">
        <v>41950</v>
      </c>
      <c r="B1889">
        <v>84.540656999999996</v>
      </c>
      <c r="C1889" s="334">
        <f t="shared" si="29"/>
        <v>-1.9762803457522803E-2</v>
      </c>
    </row>
    <row r="1890" spans="1:3" x14ac:dyDescent="0.3">
      <c r="A1890" s="335">
        <v>41953</v>
      </c>
      <c r="B1890">
        <v>85.904205000000005</v>
      </c>
      <c r="C1890" s="334">
        <f t="shared" si="29"/>
        <v>1.6128902333938672E-2</v>
      </c>
    </row>
    <row r="1891" spans="1:3" x14ac:dyDescent="0.3">
      <c r="A1891" s="335">
        <v>41954</v>
      </c>
      <c r="B1891">
        <v>87.608658000000005</v>
      </c>
      <c r="C1891" s="334">
        <f t="shared" si="29"/>
        <v>1.9841322086619633E-2</v>
      </c>
    </row>
    <row r="1892" spans="1:3" x14ac:dyDescent="0.3">
      <c r="A1892" s="335">
        <v>41955</v>
      </c>
      <c r="B1892">
        <v>85.904205000000005</v>
      </c>
      <c r="C1892" s="334">
        <f t="shared" si="29"/>
        <v>-1.9455303150517394E-2</v>
      </c>
    </row>
    <row r="1893" spans="1:3" x14ac:dyDescent="0.3">
      <c r="A1893" s="335">
        <v>41956</v>
      </c>
      <c r="B1893">
        <v>86.926872000000003</v>
      </c>
      <c r="C1893" s="334">
        <f t="shared" si="29"/>
        <v>1.1904737375778036E-2</v>
      </c>
    </row>
    <row r="1894" spans="1:3" x14ac:dyDescent="0.3">
      <c r="A1894" s="335">
        <v>41957</v>
      </c>
      <c r="B1894">
        <v>85.904205000000005</v>
      </c>
      <c r="C1894" s="334">
        <f t="shared" si="29"/>
        <v>-1.1764681927126038E-2</v>
      </c>
    </row>
    <row r="1895" spans="1:3" x14ac:dyDescent="0.3">
      <c r="A1895" s="335">
        <v>41960</v>
      </c>
      <c r="B1895">
        <v>86.926872000000003</v>
      </c>
      <c r="C1895" s="334">
        <f t="shared" si="29"/>
        <v>1.1904737375778036E-2</v>
      </c>
    </row>
    <row r="1896" spans="1:3" x14ac:dyDescent="0.3">
      <c r="A1896" s="335">
        <v>41961</v>
      </c>
      <c r="B1896">
        <v>84.199768000000006</v>
      </c>
      <c r="C1896" s="334">
        <f t="shared" si="29"/>
        <v>-3.1372393107622659E-2</v>
      </c>
    </row>
    <row r="1897" spans="1:3" x14ac:dyDescent="0.3">
      <c r="A1897" s="335">
        <v>41962</v>
      </c>
      <c r="B1897">
        <v>86.585991000000007</v>
      </c>
      <c r="C1897" s="334">
        <f t="shared" si="29"/>
        <v>2.8340018704089552E-2</v>
      </c>
    </row>
    <row r="1898" spans="1:3" x14ac:dyDescent="0.3">
      <c r="A1898" s="335">
        <v>41963</v>
      </c>
      <c r="B1898">
        <v>85.222435000000004</v>
      </c>
      <c r="C1898" s="334">
        <f t="shared" si="29"/>
        <v>-1.5747997848751336E-2</v>
      </c>
    </row>
    <row r="1899" spans="1:3" x14ac:dyDescent="0.3">
      <c r="A1899" s="335">
        <v>41964</v>
      </c>
      <c r="B1899">
        <v>86.585991000000007</v>
      </c>
      <c r="C1899" s="334">
        <f t="shared" si="29"/>
        <v>1.5999965267361846E-2</v>
      </c>
    </row>
    <row r="1900" spans="1:3" x14ac:dyDescent="0.3">
      <c r="A1900" s="335">
        <v>41967</v>
      </c>
      <c r="B1900">
        <v>87.949546999999995</v>
      </c>
      <c r="C1900" s="334">
        <f t="shared" si="29"/>
        <v>1.5747997848751173E-2</v>
      </c>
    </row>
    <row r="1901" spans="1:3" x14ac:dyDescent="0.3">
      <c r="A1901" s="335">
        <v>41968</v>
      </c>
      <c r="B1901">
        <v>87.949546999999995</v>
      </c>
      <c r="C1901" s="334">
        <f t="shared" si="29"/>
        <v>0</v>
      </c>
    </row>
    <row r="1902" spans="1:3" x14ac:dyDescent="0.3">
      <c r="A1902" s="335">
        <v>41969</v>
      </c>
      <c r="B1902">
        <v>84.540656999999996</v>
      </c>
      <c r="C1902" s="334">
        <f t="shared" si="29"/>
        <v>-3.875960839229791E-2</v>
      </c>
    </row>
    <row r="1903" spans="1:3" x14ac:dyDescent="0.3">
      <c r="A1903" s="335">
        <v>41970</v>
      </c>
      <c r="B1903">
        <v>82.154419000000004</v>
      </c>
      <c r="C1903" s="334">
        <f t="shared" si="29"/>
        <v>-2.8225922114610391E-2</v>
      </c>
    </row>
    <row r="1904" spans="1:3" x14ac:dyDescent="0.3">
      <c r="A1904" s="335">
        <v>41971</v>
      </c>
      <c r="B1904">
        <v>82.154419000000004</v>
      </c>
      <c r="C1904" s="334">
        <f t="shared" si="29"/>
        <v>0</v>
      </c>
    </row>
    <row r="1905" spans="1:3" x14ac:dyDescent="0.3">
      <c r="A1905" s="335">
        <v>41974</v>
      </c>
      <c r="B1905">
        <v>83.177100999999993</v>
      </c>
      <c r="C1905" s="334">
        <f t="shared" si="29"/>
        <v>1.244828960448237E-2</v>
      </c>
    </row>
    <row r="1906" spans="1:3" x14ac:dyDescent="0.3">
      <c r="A1906" s="335">
        <v>41975</v>
      </c>
      <c r="B1906">
        <v>84.540656999999996</v>
      </c>
      <c r="C1906" s="334">
        <f t="shared" si="29"/>
        <v>1.6393406161150082E-2</v>
      </c>
    </row>
    <row r="1907" spans="1:3" x14ac:dyDescent="0.3">
      <c r="A1907" s="335">
        <v>41976</v>
      </c>
      <c r="B1907">
        <v>83.858879000000002</v>
      </c>
      <c r="C1907" s="334">
        <f t="shared" si="29"/>
        <v>-8.0644984814820433E-3</v>
      </c>
    </row>
    <row r="1908" spans="1:3" x14ac:dyDescent="0.3">
      <c r="A1908" s="335">
        <v>41977</v>
      </c>
      <c r="B1908">
        <v>81.813537999999994</v>
      </c>
      <c r="C1908" s="334">
        <f t="shared" si="29"/>
        <v>-2.4390273569004035E-2</v>
      </c>
    </row>
    <row r="1909" spans="1:3" x14ac:dyDescent="0.3">
      <c r="A1909" s="335">
        <v>41978</v>
      </c>
      <c r="B1909">
        <v>83.858879000000002</v>
      </c>
      <c r="C1909" s="334">
        <f t="shared" si="29"/>
        <v>2.5000031168435813E-2</v>
      </c>
    </row>
    <row r="1910" spans="1:3" x14ac:dyDescent="0.3">
      <c r="A1910" s="335">
        <v>41981</v>
      </c>
      <c r="B1910">
        <v>82.495316000000003</v>
      </c>
      <c r="C1910" s="334">
        <f t="shared" si="29"/>
        <v>-1.6260210203859263E-2</v>
      </c>
    </row>
    <row r="1911" spans="1:3" x14ac:dyDescent="0.3">
      <c r="A1911" s="335">
        <v>41982</v>
      </c>
      <c r="B1911">
        <v>81.131743999999998</v>
      </c>
      <c r="C1911" s="334">
        <f t="shared" si="29"/>
        <v>-1.6529083905806298E-2</v>
      </c>
    </row>
    <row r="1912" spans="1:3" x14ac:dyDescent="0.3">
      <c r="A1912" s="335">
        <v>41983</v>
      </c>
      <c r="B1912">
        <v>82.154419000000004</v>
      </c>
      <c r="C1912" s="334">
        <f t="shared" si="29"/>
        <v>1.2605115452713634E-2</v>
      </c>
    </row>
    <row r="1913" spans="1:3" x14ac:dyDescent="0.3">
      <c r="A1913" s="335">
        <v>41984</v>
      </c>
      <c r="B1913">
        <v>81.813537999999994</v>
      </c>
      <c r="C1913" s="334">
        <f t="shared" si="29"/>
        <v>-4.1492716295639578E-3</v>
      </c>
    </row>
    <row r="1914" spans="1:3" x14ac:dyDescent="0.3">
      <c r="A1914" s="335">
        <v>41985</v>
      </c>
      <c r="B1914">
        <v>80.449973999999997</v>
      </c>
      <c r="C1914" s="334">
        <f t="shared" si="29"/>
        <v>-1.6666728188677E-2</v>
      </c>
    </row>
    <row r="1915" spans="1:3" x14ac:dyDescent="0.3">
      <c r="A1915" s="335">
        <v>41988</v>
      </c>
      <c r="B1915">
        <v>81.131743999999998</v>
      </c>
      <c r="C1915" s="334">
        <f t="shared" si="29"/>
        <v>8.4744589227586358E-3</v>
      </c>
    </row>
    <row r="1916" spans="1:3" x14ac:dyDescent="0.3">
      <c r="A1916" s="335">
        <v>41989</v>
      </c>
      <c r="B1916">
        <v>76.359290999999999</v>
      </c>
      <c r="C1916" s="334">
        <f t="shared" si="29"/>
        <v>-5.8823498235166728E-2</v>
      </c>
    </row>
    <row r="1917" spans="1:3" x14ac:dyDescent="0.3">
      <c r="A1917" s="335">
        <v>41990</v>
      </c>
      <c r="B1917">
        <v>78.404640000000001</v>
      </c>
      <c r="C1917" s="334">
        <f t="shared" si="29"/>
        <v>2.6785856353747466E-2</v>
      </c>
    </row>
    <row r="1918" spans="1:3" x14ac:dyDescent="0.3">
      <c r="A1918" s="335">
        <v>41991</v>
      </c>
      <c r="B1918">
        <v>78.404640000000001</v>
      </c>
      <c r="C1918" s="334">
        <f t="shared" si="29"/>
        <v>0</v>
      </c>
    </row>
    <row r="1919" spans="1:3" x14ac:dyDescent="0.3">
      <c r="A1919" s="335">
        <v>41992</v>
      </c>
      <c r="B1919">
        <v>80.790863000000002</v>
      </c>
      <c r="C1919" s="334">
        <f t="shared" si="29"/>
        <v>3.043471661881237E-2</v>
      </c>
    </row>
    <row r="1920" spans="1:3" x14ac:dyDescent="0.3">
      <c r="A1920" s="335">
        <v>41995</v>
      </c>
      <c r="B1920">
        <v>84.199768000000006</v>
      </c>
      <c r="C1920" s="334">
        <f t="shared" si="29"/>
        <v>4.2194189706823704E-2</v>
      </c>
    </row>
    <row r="1921" spans="1:3" x14ac:dyDescent="0.3">
      <c r="A1921" s="335">
        <v>41996</v>
      </c>
      <c r="B1921">
        <v>86.926872000000003</v>
      </c>
      <c r="C1921" s="334">
        <f t="shared" si="29"/>
        <v>3.2388497792535449E-2</v>
      </c>
    </row>
    <row r="1922" spans="1:3" x14ac:dyDescent="0.3">
      <c r="A1922" s="335">
        <v>42002</v>
      </c>
      <c r="B1922">
        <v>86.926872000000003</v>
      </c>
      <c r="C1922" s="334">
        <f t="shared" si="29"/>
        <v>0</v>
      </c>
    </row>
    <row r="1923" spans="1:3" x14ac:dyDescent="0.3">
      <c r="A1923" s="335">
        <v>42003</v>
      </c>
      <c r="B1923">
        <v>86.926872000000003</v>
      </c>
      <c r="C1923" s="334">
        <f t="shared" si="29"/>
        <v>0</v>
      </c>
    </row>
    <row r="1924" spans="1:3" x14ac:dyDescent="0.3">
      <c r="A1924" s="335">
        <v>42006</v>
      </c>
      <c r="B1924">
        <v>88.631325000000004</v>
      </c>
      <c r="C1924" s="334">
        <f t="shared" si="29"/>
        <v>1.9607895243256894E-2</v>
      </c>
    </row>
    <row r="1925" spans="1:3" x14ac:dyDescent="0.3">
      <c r="A1925" s="335">
        <v>42009</v>
      </c>
      <c r="B1925">
        <v>87.608658000000005</v>
      </c>
      <c r="C1925" s="334">
        <f t="shared" si="29"/>
        <v>-1.1538437454252188E-2</v>
      </c>
    </row>
    <row r="1926" spans="1:3" x14ac:dyDescent="0.3">
      <c r="A1926" s="335">
        <v>42010</v>
      </c>
      <c r="B1926">
        <v>88.631325000000004</v>
      </c>
      <c r="C1926" s="334">
        <f t="shared" ref="C1926:C1989" si="30">(B1926-B1925)/B1925</f>
        <v>1.1673127101204979E-2</v>
      </c>
    </row>
    <row r="1927" spans="1:3" x14ac:dyDescent="0.3">
      <c r="A1927" s="335">
        <v>42011</v>
      </c>
      <c r="B1927">
        <v>87.949546999999995</v>
      </c>
      <c r="C1927" s="334">
        <f t="shared" si="30"/>
        <v>-7.6922916361682331E-3</v>
      </c>
    </row>
    <row r="1928" spans="1:3" x14ac:dyDescent="0.3">
      <c r="A1928" s="335">
        <v>42012</v>
      </c>
      <c r="B1928">
        <v>89.994888000000003</v>
      </c>
      <c r="C1928" s="334">
        <f t="shared" si="30"/>
        <v>2.3255844626465304E-2</v>
      </c>
    </row>
    <row r="1929" spans="1:3" x14ac:dyDescent="0.3">
      <c r="A1929" s="335">
        <v>42013</v>
      </c>
      <c r="B1929">
        <v>90.335785000000001</v>
      </c>
      <c r="C1929" s="334">
        <f t="shared" si="30"/>
        <v>3.7879596005497358E-3</v>
      </c>
    </row>
    <row r="1930" spans="1:3" x14ac:dyDescent="0.3">
      <c r="A1930" s="335">
        <v>42016</v>
      </c>
      <c r="B1930">
        <v>91.358452</v>
      </c>
      <c r="C1930" s="334">
        <f t="shared" si="30"/>
        <v>1.1320729653259762E-2</v>
      </c>
    </row>
    <row r="1931" spans="1:3" x14ac:dyDescent="0.3">
      <c r="A1931" s="335">
        <v>42017</v>
      </c>
      <c r="B1931">
        <v>91.358452</v>
      </c>
      <c r="C1931" s="334">
        <f t="shared" si="30"/>
        <v>0</v>
      </c>
    </row>
    <row r="1932" spans="1:3" x14ac:dyDescent="0.3">
      <c r="A1932" s="335">
        <v>42018</v>
      </c>
      <c r="B1932">
        <v>90.676665999999997</v>
      </c>
      <c r="C1932" s="334">
        <f t="shared" si="30"/>
        <v>-7.4627577971658546E-3</v>
      </c>
    </row>
    <row r="1933" spans="1:3" x14ac:dyDescent="0.3">
      <c r="A1933" s="335">
        <v>42019</v>
      </c>
      <c r="B1933">
        <v>87.949546999999995</v>
      </c>
      <c r="C1933" s="334">
        <f t="shared" si="30"/>
        <v>-3.0075201485683229E-2</v>
      </c>
    </row>
    <row r="1934" spans="1:3" x14ac:dyDescent="0.3">
      <c r="A1934" s="335">
        <v>42020</v>
      </c>
      <c r="B1934">
        <v>87.608658000000005</v>
      </c>
      <c r="C1934" s="334">
        <f t="shared" si="30"/>
        <v>-3.8759608392296783E-3</v>
      </c>
    </row>
    <row r="1935" spans="1:3" x14ac:dyDescent="0.3">
      <c r="A1935" s="335">
        <v>42023</v>
      </c>
      <c r="B1935">
        <v>90.335785000000001</v>
      </c>
      <c r="C1935" s="334">
        <f t="shared" si="30"/>
        <v>3.112851015250109E-2</v>
      </c>
    </row>
    <row r="1936" spans="1:3" x14ac:dyDescent="0.3">
      <c r="A1936" s="335">
        <v>42024</v>
      </c>
      <c r="B1936">
        <v>89.653992000000002</v>
      </c>
      <c r="C1936" s="334">
        <f t="shared" si="30"/>
        <v>-7.5473191493271351E-3</v>
      </c>
    </row>
    <row r="1937" spans="1:3" x14ac:dyDescent="0.3">
      <c r="A1937" s="335">
        <v>42025</v>
      </c>
      <c r="B1937">
        <v>88.290442999999996</v>
      </c>
      <c r="C1937" s="334">
        <f t="shared" si="30"/>
        <v>-1.520901601347552E-2</v>
      </c>
    </row>
    <row r="1938" spans="1:3" x14ac:dyDescent="0.3">
      <c r="A1938" s="335">
        <v>42026</v>
      </c>
      <c r="B1938">
        <v>79.768196000000003</v>
      </c>
      <c r="C1938" s="334">
        <f t="shared" si="30"/>
        <v>-9.6525135795275066E-2</v>
      </c>
    </row>
    <row r="1939" spans="1:3" x14ac:dyDescent="0.3">
      <c r="A1939" s="335">
        <v>42027</v>
      </c>
      <c r="B1939">
        <v>79.768196000000003</v>
      </c>
      <c r="C1939" s="334">
        <f t="shared" si="30"/>
        <v>0</v>
      </c>
    </row>
    <row r="1940" spans="1:3" x14ac:dyDescent="0.3">
      <c r="A1940" s="335">
        <v>42030</v>
      </c>
      <c r="B1940">
        <v>80.109070000000003</v>
      </c>
      <c r="C1940" s="334">
        <f t="shared" si="30"/>
        <v>4.2733071210485874E-3</v>
      </c>
    </row>
    <row r="1941" spans="1:3" x14ac:dyDescent="0.3">
      <c r="A1941" s="335">
        <v>42031</v>
      </c>
      <c r="B1941">
        <v>78.063744</v>
      </c>
      <c r="C1941" s="334">
        <f t="shared" si="30"/>
        <v>-2.5531765629035547E-2</v>
      </c>
    </row>
    <row r="1942" spans="1:3" x14ac:dyDescent="0.3">
      <c r="A1942" s="335">
        <v>42032</v>
      </c>
      <c r="B1942">
        <v>79.427314999999993</v>
      </c>
      <c r="C1942" s="334">
        <f t="shared" si="30"/>
        <v>1.7467404586692551E-2</v>
      </c>
    </row>
    <row r="1943" spans="1:3" x14ac:dyDescent="0.3">
      <c r="A1943" s="335">
        <v>42033</v>
      </c>
      <c r="B1943">
        <v>80.790863000000002</v>
      </c>
      <c r="C1943" s="334">
        <f t="shared" si="30"/>
        <v>1.716724278039625E-2</v>
      </c>
    </row>
    <row r="1944" spans="1:3" x14ac:dyDescent="0.3">
      <c r="A1944" s="335">
        <v>42034</v>
      </c>
      <c r="B1944">
        <v>81.472649000000004</v>
      </c>
      <c r="C1944" s="334">
        <f t="shared" si="30"/>
        <v>8.4388998295513006E-3</v>
      </c>
    </row>
    <row r="1945" spans="1:3" x14ac:dyDescent="0.3">
      <c r="A1945" s="335">
        <v>42037</v>
      </c>
      <c r="B1945">
        <v>80.449973999999997</v>
      </c>
      <c r="C1945" s="334">
        <f t="shared" si="30"/>
        <v>-1.2552372023646938E-2</v>
      </c>
    </row>
    <row r="1946" spans="1:3" x14ac:dyDescent="0.3">
      <c r="A1946" s="335">
        <v>42038</v>
      </c>
      <c r="B1946">
        <v>76.700187999999997</v>
      </c>
      <c r="C1946" s="334">
        <f t="shared" si="30"/>
        <v>-4.6610158009497929E-2</v>
      </c>
    </row>
    <row r="1947" spans="1:3" x14ac:dyDescent="0.3">
      <c r="A1947" s="335">
        <v>42039</v>
      </c>
      <c r="B1947">
        <v>76.700187999999997</v>
      </c>
      <c r="C1947" s="334">
        <f t="shared" si="30"/>
        <v>0</v>
      </c>
    </row>
    <row r="1948" spans="1:3" x14ac:dyDescent="0.3">
      <c r="A1948" s="335">
        <v>42040</v>
      </c>
      <c r="B1948">
        <v>78.063744</v>
      </c>
      <c r="C1948" s="334">
        <f t="shared" si="30"/>
        <v>1.7777739997195348E-2</v>
      </c>
    </row>
    <row r="1949" spans="1:3" x14ac:dyDescent="0.3">
      <c r="A1949" s="335">
        <v>42041</v>
      </c>
      <c r="B1949">
        <v>77.722854999999996</v>
      </c>
      <c r="C1949" s="334">
        <f t="shared" si="30"/>
        <v>-4.3668031090079952E-3</v>
      </c>
    </row>
    <row r="1950" spans="1:3" x14ac:dyDescent="0.3">
      <c r="A1950" s="335">
        <v>42044</v>
      </c>
      <c r="B1950">
        <v>76.359290999999999</v>
      </c>
      <c r="C1950" s="334">
        <f t="shared" si="30"/>
        <v>-1.7543925786050921E-2</v>
      </c>
    </row>
    <row r="1951" spans="1:3" x14ac:dyDescent="0.3">
      <c r="A1951" s="335">
        <v>42045</v>
      </c>
      <c r="B1951">
        <v>77.381966000000006</v>
      </c>
      <c r="C1951" s="334">
        <f t="shared" si="30"/>
        <v>1.3392934724865461E-2</v>
      </c>
    </row>
    <row r="1952" spans="1:3" x14ac:dyDescent="0.3">
      <c r="A1952" s="335">
        <v>42046</v>
      </c>
      <c r="B1952">
        <v>75.677520999999999</v>
      </c>
      <c r="C1952" s="334">
        <f t="shared" si="30"/>
        <v>-2.2026385320838279E-2</v>
      </c>
    </row>
    <row r="1953" spans="1:3" x14ac:dyDescent="0.3">
      <c r="A1953" s="335">
        <v>42047</v>
      </c>
      <c r="B1953">
        <v>78.404640000000001</v>
      </c>
      <c r="C1953" s="334">
        <f t="shared" si="30"/>
        <v>3.6036050916625581E-2</v>
      </c>
    </row>
    <row r="1954" spans="1:3" x14ac:dyDescent="0.3">
      <c r="A1954" s="335">
        <v>42048</v>
      </c>
      <c r="B1954">
        <v>77.381966000000006</v>
      </c>
      <c r="C1954" s="334">
        <f t="shared" si="30"/>
        <v>-1.3043539259921287E-2</v>
      </c>
    </row>
    <row r="1955" spans="1:3" x14ac:dyDescent="0.3">
      <c r="A1955" s="335">
        <v>42051</v>
      </c>
      <c r="B1955">
        <v>78.063744</v>
      </c>
      <c r="C1955" s="334">
        <f t="shared" si="30"/>
        <v>8.8105541283352018E-3</v>
      </c>
    </row>
    <row r="1956" spans="1:3" x14ac:dyDescent="0.3">
      <c r="A1956" s="335">
        <v>42052</v>
      </c>
      <c r="B1956">
        <v>76.018410000000003</v>
      </c>
      <c r="C1956" s="334">
        <f t="shared" si="30"/>
        <v>-2.6200818654047605E-2</v>
      </c>
    </row>
    <row r="1957" spans="1:3" x14ac:dyDescent="0.3">
      <c r="A1957" s="335">
        <v>42053</v>
      </c>
      <c r="B1957">
        <v>76.700187999999997</v>
      </c>
      <c r="C1957" s="334">
        <f t="shared" si="30"/>
        <v>8.9685906348211473E-3</v>
      </c>
    </row>
    <row r="1958" spans="1:3" x14ac:dyDescent="0.3">
      <c r="A1958" s="335">
        <v>42054</v>
      </c>
      <c r="B1958">
        <v>73.973067999999998</v>
      </c>
      <c r="C1958" s="334">
        <f t="shared" si="30"/>
        <v>-3.5555584296612146E-2</v>
      </c>
    </row>
    <row r="1959" spans="1:3" x14ac:dyDescent="0.3">
      <c r="A1959" s="335">
        <v>42055</v>
      </c>
      <c r="B1959">
        <v>76.018410000000003</v>
      </c>
      <c r="C1959" s="334">
        <f t="shared" si="30"/>
        <v>2.7649819796577928E-2</v>
      </c>
    </row>
    <row r="1960" spans="1:3" x14ac:dyDescent="0.3">
      <c r="A1960" s="335">
        <v>42058</v>
      </c>
      <c r="B1960">
        <v>77.722854999999996</v>
      </c>
      <c r="C1960" s="334">
        <f t="shared" si="30"/>
        <v>2.2421476587052961E-2</v>
      </c>
    </row>
    <row r="1961" spans="1:3" x14ac:dyDescent="0.3">
      <c r="A1961" s="335">
        <v>42059</v>
      </c>
      <c r="B1961">
        <v>77.722854999999996</v>
      </c>
      <c r="C1961" s="334">
        <f t="shared" si="30"/>
        <v>0</v>
      </c>
    </row>
    <row r="1962" spans="1:3" x14ac:dyDescent="0.3">
      <c r="A1962" s="335">
        <v>42060</v>
      </c>
      <c r="B1962">
        <v>78.063744</v>
      </c>
      <c r="C1962" s="334">
        <f t="shared" si="30"/>
        <v>4.3859557140561063E-3</v>
      </c>
    </row>
    <row r="1963" spans="1:3" x14ac:dyDescent="0.3">
      <c r="A1963" s="335">
        <v>42061</v>
      </c>
      <c r="B1963">
        <v>83.517975000000007</v>
      </c>
      <c r="C1963" s="334">
        <f t="shared" si="30"/>
        <v>6.986893941443556E-2</v>
      </c>
    </row>
    <row r="1964" spans="1:3" x14ac:dyDescent="0.3">
      <c r="A1964" s="335">
        <v>42062</v>
      </c>
      <c r="B1964">
        <v>85.563323999999994</v>
      </c>
      <c r="C1964" s="334">
        <f t="shared" si="30"/>
        <v>2.4489925671689085E-2</v>
      </c>
    </row>
    <row r="1965" spans="1:3" x14ac:dyDescent="0.3">
      <c r="A1965" s="335">
        <v>42065</v>
      </c>
      <c r="B1965">
        <v>85.904205000000005</v>
      </c>
      <c r="C1965" s="334">
        <f t="shared" si="30"/>
        <v>3.9839616329072278E-3</v>
      </c>
    </row>
    <row r="1966" spans="1:3" x14ac:dyDescent="0.3">
      <c r="A1966" s="335">
        <v>42066</v>
      </c>
      <c r="B1966">
        <v>84.199768000000006</v>
      </c>
      <c r="C1966" s="334">
        <f t="shared" si="30"/>
        <v>-1.9841135832640539E-2</v>
      </c>
    </row>
    <row r="1967" spans="1:3" x14ac:dyDescent="0.3">
      <c r="A1967" s="335">
        <v>42067</v>
      </c>
      <c r="B1967">
        <v>83.858879000000002</v>
      </c>
      <c r="C1967" s="334">
        <f t="shared" si="30"/>
        <v>-4.0485741005842702E-3</v>
      </c>
    </row>
    <row r="1968" spans="1:3" x14ac:dyDescent="0.3">
      <c r="A1968" s="335">
        <v>42068</v>
      </c>
      <c r="B1968">
        <v>83.858879000000002</v>
      </c>
      <c r="C1968" s="334">
        <f t="shared" si="30"/>
        <v>0</v>
      </c>
    </row>
    <row r="1969" spans="1:3" x14ac:dyDescent="0.3">
      <c r="A1969" s="335">
        <v>42069</v>
      </c>
      <c r="B1969">
        <v>84.540656999999996</v>
      </c>
      <c r="C1969" s="334">
        <f t="shared" si="30"/>
        <v>8.1300633651446037E-3</v>
      </c>
    </row>
    <row r="1970" spans="1:3" x14ac:dyDescent="0.3">
      <c r="A1970" s="335">
        <v>42072</v>
      </c>
      <c r="B1970">
        <v>84.540656999999996</v>
      </c>
      <c r="C1970" s="334">
        <f t="shared" si="30"/>
        <v>0</v>
      </c>
    </row>
    <row r="1971" spans="1:3" x14ac:dyDescent="0.3">
      <c r="A1971" s="335">
        <v>42073</v>
      </c>
      <c r="B1971">
        <v>83.177100999999993</v>
      </c>
      <c r="C1971" s="334">
        <f t="shared" si="30"/>
        <v>-1.6128996962964253E-2</v>
      </c>
    </row>
    <row r="1972" spans="1:3" x14ac:dyDescent="0.3">
      <c r="A1972" s="335">
        <v>42074</v>
      </c>
      <c r="B1972">
        <v>84.881538000000006</v>
      </c>
      <c r="C1972" s="334">
        <f t="shared" si="30"/>
        <v>2.0491661521120013E-2</v>
      </c>
    </row>
    <row r="1973" spans="1:3" x14ac:dyDescent="0.3">
      <c r="A1973" s="335">
        <v>42075</v>
      </c>
      <c r="B1973">
        <v>84.540656999999996</v>
      </c>
      <c r="C1973" s="334">
        <f t="shared" si="30"/>
        <v>-4.0159616334945556E-3</v>
      </c>
    </row>
    <row r="1974" spans="1:3" x14ac:dyDescent="0.3">
      <c r="A1974" s="335">
        <v>42076</v>
      </c>
      <c r="B1974">
        <v>84.881538000000006</v>
      </c>
      <c r="C1974" s="334">
        <f t="shared" si="30"/>
        <v>4.0321546117155233E-3</v>
      </c>
    </row>
    <row r="1975" spans="1:3" x14ac:dyDescent="0.3">
      <c r="A1975" s="335">
        <v>42079</v>
      </c>
      <c r="B1975">
        <v>82.836205000000007</v>
      </c>
      <c r="C1975" s="334">
        <f t="shared" si="30"/>
        <v>-2.4096323513836417E-2</v>
      </c>
    </row>
    <row r="1976" spans="1:3" x14ac:dyDescent="0.3">
      <c r="A1976" s="335">
        <v>42080</v>
      </c>
      <c r="B1976">
        <v>80.790863000000002</v>
      </c>
      <c r="C1976" s="334">
        <f t="shared" si="30"/>
        <v>-2.4691401543564254E-2</v>
      </c>
    </row>
    <row r="1977" spans="1:3" x14ac:dyDescent="0.3">
      <c r="A1977" s="335">
        <v>42081</v>
      </c>
      <c r="B1977">
        <v>82.836205000000007</v>
      </c>
      <c r="C1977" s="334">
        <f t="shared" si="30"/>
        <v>2.5316501446456946E-2</v>
      </c>
    </row>
    <row r="1978" spans="1:3" x14ac:dyDescent="0.3">
      <c r="A1978" s="335">
        <v>42082</v>
      </c>
      <c r="B1978">
        <v>80.449973999999997</v>
      </c>
      <c r="C1978" s="334">
        <f t="shared" si="30"/>
        <v>-2.8806619038136878E-2</v>
      </c>
    </row>
    <row r="1979" spans="1:3" x14ac:dyDescent="0.3">
      <c r="A1979" s="335">
        <v>42083</v>
      </c>
      <c r="B1979">
        <v>84.881538000000006</v>
      </c>
      <c r="C1979" s="334">
        <f t="shared" si="30"/>
        <v>5.5084716372935175E-2</v>
      </c>
    </row>
    <row r="1980" spans="1:3" x14ac:dyDescent="0.3">
      <c r="A1980" s="335">
        <v>42086</v>
      </c>
      <c r="B1980">
        <v>83.858879000000002</v>
      </c>
      <c r="C1980" s="334">
        <f t="shared" si="30"/>
        <v>-1.2048073398481591E-2</v>
      </c>
    </row>
    <row r="1981" spans="1:3" x14ac:dyDescent="0.3">
      <c r="A1981" s="335">
        <v>42087</v>
      </c>
      <c r="B1981">
        <v>85.222435000000004</v>
      </c>
      <c r="C1981" s="334">
        <f t="shared" si="30"/>
        <v>1.6260126730289377E-2</v>
      </c>
    </row>
    <row r="1982" spans="1:3" x14ac:dyDescent="0.3">
      <c r="A1982" s="335">
        <v>42088</v>
      </c>
      <c r="B1982">
        <v>79.768196000000003</v>
      </c>
      <c r="C1982" s="334">
        <f t="shared" si="30"/>
        <v>-6.4000037079438077E-2</v>
      </c>
    </row>
    <row r="1983" spans="1:3" x14ac:dyDescent="0.3">
      <c r="A1983" s="335">
        <v>42089</v>
      </c>
      <c r="B1983">
        <v>78.063744</v>
      </c>
      <c r="C1983" s="334">
        <f t="shared" si="30"/>
        <v>-2.1367563583862461E-2</v>
      </c>
    </row>
    <row r="1984" spans="1:3" x14ac:dyDescent="0.3">
      <c r="A1984" s="335">
        <v>42090</v>
      </c>
      <c r="B1984">
        <v>77.722854999999996</v>
      </c>
      <c r="C1984" s="334">
        <f t="shared" si="30"/>
        <v>-4.3668031090079952E-3</v>
      </c>
    </row>
    <row r="1985" spans="1:3" x14ac:dyDescent="0.3">
      <c r="A1985" s="335">
        <v>42093</v>
      </c>
      <c r="B1985">
        <v>79.086410999999998</v>
      </c>
      <c r="C1985" s="334">
        <f t="shared" si="30"/>
        <v>1.7543822856224245E-2</v>
      </c>
    </row>
    <row r="1986" spans="1:3" x14ac:dyDescent="0.3">
      <c r="A1986" s="335">
        <v>42094</v>
      </c>
      <c r="B1986">
        <v>79.086410999999998</v>
      </c>
      <c r="C1986" s="334">
        <f t="shared" si="30"/>
        <v>0</v>
      </c>
    </row>
    <row r="1987" spans="1:3" x14ac:dyDescent="0.3">
      <c r="A1987" s="335">
        <v>42095</v>
      </c>
      <c r="B1987">
        <v>79.768196000000003</v>
      </c>
      <c r="C1987" s="334">
        <f t="shared" si="30"/>
        <v>8.6207603983951813E-3</v>
      </c>
    </row>
    <row r="1988" spans="1:3" x14ac:dyDescent="0.3">
      <c r="A1988" s="335">
        <v>42101</v>
      </c>
      <c r="B1988">
        <v>81.813537999999994</v>
      </c>
      <c r="C1988" s="334">
        <f t="shared" si="30"/>
        <v>2.564107128610494E-2</v>
      </c>
    </row>
    <row r="1989" spans="1:3" x14ac:dyDescent="0.3">
      <c r="A1989" s="335">
        <v>42102</v>
      </c>
      <c r="B1989">
        <v>81.813537999999994</v>
      </c>
      <c r="C1989" s="334">
        <f t="shared" si="30"/>
        <v>0</v>
      </c>
    </row>
    <row r="1990" spans="1:3" x14ac:dyDescent="0.3">
      <c r="A1990" s="335">
        <v>42103</v>
      </c>
      <c r="B1990">
        <v>81.813537999999994</v>
      </c>
      <c r="C1990" s="334">
        <f t="shared" ref="C1990:C2053" si="31">(B1990-B1989)/B1989</f>
        <v>0</v>
      </c>
    </row>
    <row r="1991" spans="1:3" x14ac:dyDescent="0.3">
      <c r="A1991" s="335">
        <v>42104</v>
      </c>
      <c r="B1991">
        <v>81.813537999999994</v>
      </c>
      <c r="C1991" s="334">
        <f t="shared" si="31"/>
        <v>0</v>
      </c>
    </row>
    <row r="1992" spans="1:3" x14ac:dyDescent="0.3">
      <c r="A1992" s="335">
        <v>42107</v>
      </c>
      <c r="B1992">
        <v>82.154419000000004</v>
      </c>
      <c r="C1992" s="334">
        <f t="shared" si="31"/>
        <v>4.1665598180097071E-3</v>
      </c>
    </row>
    <row r="1993" spans="1:3" x14ac:dyDescent="0.3">
      <c r="A1993" s="335">
        <v>42108</v>
      </c>
      <c r="B1993">
        <v>80.449973999999997</v>
      </c>
      <c r="C1993" s="334">
        <f t="shared" si="31"/>
        <v>-2.0746845035810025E-2</v>
      </c>
    </row>
    <row r="1994" spans="1:3" x14ac:dyDescent="0.3">
      <c r="A1994" s="335">
        <v>42109</v>
      </c>
      <c r="B1994">
        <v>80.449973999999997</v>
      </c>
      <c r="C1994" s="334">
        <f t="shared" si="31"/>
        <v>0</v>
      </c>
    </row>
    <row r="1995" spans="1:3" x14ac:dyDescent="0.3">
      <c r="A1995" s="335">
        <v>42110</v>
      </c>
      <c r="B1995">
        <v>80.790863000000002</v>
      </c>
      <c r="C1995" s="334">
        <f t="shared" si="31"/>
        <v>4.2372791817186194E-3</v>
      </c>
    </row>
    <row r="1996" spans="1:3" x14ac:dyDescent="0.3">
      <c r="A1996" s="335">
        <v>42111</v>
      </c>
      <c r="B1996">
        <v>80.449973999999997</v>
      </c>
      <c r="C1996" s="334">
        <f t="shared" si="31"/>
        <v>-4.219400404226456E-3</v>
      </c>
    </row>
    <row r="1997" spans="1:3" x14ac:dyDescent="0.3">
      <c r="A1997" s="335">
        <v>42114</v>
      </c>
      <c r="B1997">
        <v>80.449973999999997</v>
      </c>
      <c r="C1997" s="334">
        <f t="shared" si="31"/>
        <v>0</v>
      </c>
    </row>
    <row r="1998" spans="1:3" x14ac:dyDescent="0.3">
      <c r="A1998" s="335">
        <v>42115</v>
      </c>
      <c r="B1998">
        <v>82.154419000000004</v>
      </c>
      <c r="C1998" s="334">
        <f t="shared" si="31"/>
        <v>2.1186395908592923E-2</v>
      </c>
    </row>
    <row r="1999" spans="1:3" x14ac:dyDescent="0.3">
      <c r="A1999" s="335">
        <v>42116</v>
      </c>
      <c r="B1999">
        <v>81.813537999999994</v>
      </c>
      <c r="C1999" s="334">
        <f t="shared" si="31"/>
        <v>-4.1492716295639578E-3</v>
      </c>
    </row>
    <row r="2000" spans="1:3" x14ac:dyDescent="0.3">
      <c r="A2000" s="335">
        <v>42117</v>
      </c>
      <c r="B2000">
        <v>81.472649000000004</v>
      </c>
      <c r="C2000" s="334">
        <f t="shared" si="31"/>
        <v>-4.1666576013372021E-3</v>
      </c>
    </row>
    <row r="2001" spans="1:3" x14ac:dyDescent="0.3">
      <c r="A2001" s="335">
        <v>42118</v>
      </c>
      <c r="B2001">
        <v>85.222435000000004</v>
      </c>
      <c r="C2001" s="334">
        <f t="shared" si="31"/>
        <v>4.6025089966081748E-2</v>
      </c>
    </row>
    <row r="2002" spans="1:3" x14ac:dyDescent="0.3">
      <c r="A2002" s="335">
        <v>42121</v>
      </c>
      <c r="B2002">
        <v>87.267769000000001</v>
      </c>
      <c r="C2002" s="334">
        <f t="shared" si="31"/>
        <v>2.3999947901042686E-2</v>
      </c>
    </row>
    <row r="2003" spans="1:3" x14ac:dyDescent="0.3">
      <c r="A2003" s="335">
        <v>42122</v>
      </c>
      <c r="B2003">
        <v>84.199768000000006</v>
      </c>
      <c r="C2003" s="334">
        <f t="shared" si="31"/>
        <v>-3.5156175471839954E-2</v>
      </c>
    </row>
    <row r="2004" spans="1:3" x14ac:dyDescent="0.3">
      <c r="A2004" s="335">
        <v>42123</v>
      </c>
      <c r="B2004">
        <v>82.154419000000004</v>
      </c>
      <c r="C2004" s="334">
        <f t="shared" si="31"/>
        <v>-2.4291622751264605E-2</v>
      </c>
    </row>
    <row r="2005" spans="1:3" x14ac:dyDescent="0.3">
      <c r="A2005" s="335">
        <v>42124</v>
      </c>
      <c r="B2005">
        <v>83.517975000000007</v>
      </c>
      <c r="C2005" s="334">
        <f t="shared" si="31"/>
        <v>1.6597476028647987E-2</v>
      </c>
    </row>
    <row r="2006" spans="1:3" x14ac:dyDescent="0.3">
      <c r="A2006" s="335">
        <v>42128</v>
      </c>
      <c r="B2006">
        <v>81.472649000000004</v>
      </c>
      <c r="C2006" s="334">
        <f t="shared" si="31"/>
        <v>-2.448965028187049E-2</v>
      </c>
    </row>
    <row r="2007" spans="1:3" x14ac:dyDescent="0.3">
      <c r="A2007" s="335">
        <v>42129</v>
      </c>
      <c r="B2007">
        <v>81.813537999999994</v>
      </c>
      <c r="C2007" s="334">
        <f t="shared" si="31"/>
        <v>4.1840912770614589E-3</v>
      </c>
    </row>
    <row r="2008" spans="1:3" x14ac:dyDescent="0.3">
      <c r="A2008" s="335">
        <v>42130</v>
      </c>
      <c r="B2008">
        <v>80.449973999999997</v>
      </c>
      <c r="C2008" s="334">
        <f t="shared" si="31"/>
        <v>-1.6666728188677E-2</v>
      </c>
    </row>
    <row r="2009" spans="1:3" x14ac:dyDescent="0.3">
      <c r="A2009" s="335">
        <v>42131</v>
      </c>
      <c r="B2009">
        <v>79.427314999999993</v>
      </c>
      <c r="C2009" s="334">
        <f t="shared" si="31"/>
        <v>-1.2711738104477255E-2</v>
      </c>
    </row>
    <row r="2010" spans="1:3" x14ac:dyDescent="0.3">
      <c r="A2010" s="335">
        <v>42132</v>
      </c>
      <c r="B2010">
        <v>79.086410999999998</v>
      </c>
      <c r="C2010" s="334">
        <f t="shared" si="31"/>
        <v>-4.2920247272615827E-3</v>
      </c>
    </row>
    <row r="2011" spans="1:3" x14ac:dyDescent="0.3">
      <c r="A2011" s="335">
        <v>42135</v>
      </c>
      <c r="B2011">
        <v>80.449973999999997</v>
      </c>
      <c r="C2011" s="334">
        <f t="shared" si="31"/>
        <v>1.7241432286009276E-2</v>
      </c>
    </row>
    <row r="2012" spans="1:3" x14ac:dyDescent="0.3">
      <c r="A2012" s="335">
        <v>42136</v>
      </c>
      <c r="B2012">
        <v>78.404640000000001</v>
      </c>
      <c r="C2012" s="334">
        <f t="shared" si="31"/>
        <v>-2.5423675090311366E-2</v>
      </c>
    </row>
    <row r="2013" spans="1:3" x14ac:dyDescent="0.3">
      <c r="A2013" s="335">
        <v>42137</v>
      </c>
      <c r="B2013">
        <v>80.109070000000003</v>
      </c>
      <c r="C2013" s="334">
        <f t="shared" si="31"/>
        <v>2.1738891983943832E-2</v>
      </c>
    </row>
    <row r="2014" spans="1:3" x14ac:dyDescent="0.3">
      <c r="A2014" s="335">
        <v>42139</v>
      </c>
      <c r="B2014">
        <v>80.449973999999997</v>
      </c>
      <c r="C2014" s="334">
        <f t="shared" si="31"/>
        <v>4.2554981601957776E-3</v>
      </c>
    </row>
    <row r="2015" spans="1:3" x14ac:dyDescent="0.3">
      <c r="A2015" s="335">
        <v>42142</v>
      </c>
      <c r="B2015">
        <v>81.472649000000004</v>
      </c>
      <c r="C2015" s="334">
        <f t="shared" si="31"/>
        <v>1.2711936985834286E-2</v>
      </c>
    </row>
    <row r="2016" spans="1:3" x14ac:dyDescent="0.3">
      <c r="A2016" s="335">
        <v>42143</v>
      </c>
      <c r="B2016">
        <v>81.472649000000004</v>
      </c>
      <c r="C2016" s="334">
        <f t="shared" si="31"/>
        <v>0</v>
      </c>
    </row>
    <row r="2017" spans="1:3" x14ac:dyDescent="0.3">
      <c r="A2017" s="335">
        <v>42144</v>
      </c>
      <c r="B2017">
        <v>83.177100999999993</v>
      </c>
      <c r="C2017" s="334">
        <f t="shared" si="31"/>
        <v>2.0920542303712122E-2</v>
      </c>
    </row>
    <row r="2018" spans="1:3" x14ac:dyDescent="0.3">
      <c r="A2018" s="335">
        <v>42145</v>
      </c>
      <c r="B2018">
        <v>83.858879000000002</v>
      </c>
      <c r="C2018" s="334">
        <f t="shared" si="31"/>
        <v>8.1967030805751278E-3</v>
      </c>
    </row>
    <row r="2019" spans="1:3" x14ac:dyDescent="0.3">
      <c r="A2019" s="335">
        <v>42146</v>
      </c>
      <c r="B2019">
        <v>84.540656999999996</v>
      </c>
      <c r="C2019" s="334">
        <f t="shared" si="31"/>
        <v>8.1300633651446037E-3</v>
      </c>
    </row>
    <row r="2020" spans="1:3" x14ac:dyDescent="0.3">
      <c r="A2020" s="335">
        <v>42150</v>
      </c>
      <c r="B2020">
        <v>83.858879000000002</v>
      </c>
      <c r="C2020" s="334">
        <f t="shared" si="31"/>
        <v>-8.0644984814820433E-3</v>
      </c>
    </row>
    <row r="2021" spans="1:3" x14ac:dyDescent="0.3">
      <c r="A2021" s="335">
        <v>42151</v>
      </c>
      <c r="B2021">
        <v>83.517975000000007</v>
      </c>
      <c r="C2021" s="334">
        <f t="shared" si="31"/>
        <v>-4.0652105545078265E-3</v>
      </c>
    </row>
    <row r="2022" spans="1:3" x14ac:dyDescent="0.3">
      <c r="A2022" s="335">
        <v>42152</v>
      </c>
      <c r="B2022">
        <v>84.540656999999996</v>
      </c>
      <c r="C2022" s="334">
        <f t="shared" si="31"/>
        <v>1.2245052636872349E-2</v>
      </c>
    </row>
    <row r="2023" spans="1:3" x14ac:dyDescent="0.3">
      <c r="A2023" s="335">
        <v>42153</v>
      </c>
      <c r="B2023">
        <v>85.904205000000005</v>
      </c>
      <c r="C2023" s="334">
        <f t="shared" si="31"/>
        <v>1.6128902333938672E-2</v>
      </c>
    </row>
    <row r="2024" spans="1:3" x14ac:dyDescent="0.3">
      <c r="A2024" s="335">
        <v>42156</v>
      </c>
      <c r="B2024">
        <v>84.881538000000006</v>
      </c>
      <c r="C2024" s="334">
        <f t="shared" si="31"/>
        <v>-1.1904737375778036E-2</v>
      </c>
    </row>
    <row r="2025" spans="1:3" x14ac:dyDescent="0.3">
      <c r="A2025" s="335">
        <v>42157</v>
      </c>
      <c r="B2025">
        <v>85.222435000000004</v>
      </c>
      <c r="C2025" s="334">
        <f t="shared" si="31"/>
        <v>4.0161501314926479E-3</v>
      </c>
    </row>
    <row r="2026" spans="1:3" x14ac:dyDescent="0.3">
      <c r="A2026" s="335">
        <v>42158</v>
      </c>
      <c r="B2026">
        <v>86.704559000000003</v>
      </c>
      <c r="C2026" s="334">
        <f t="shared" si="31"/>
        <v>1.7391242106611936E-2</v>
      </c>
    </row>
    <row r="2027" spans="1:3" x14ac:dyDescent="0.3">
      <c r="A2027" s="335">
        <v>42159</v>
      </c>
      <c r="B2027">
        <v>85.963493</v>
      </c>
      <c r="C2027" s="334">
        <f t="shared" si="31"/>
        <v>-8.5470246149340727E-3</v>
      </c>
    </row>
    <row r="2028" spans="1:3" x14ac:dyDescent="0.3">
      <c r="A2028" s="335">
        <v>42160</v>
      </c>
      <c r="B2028">
        <v>86.704559000000003</v>
      </c>
      <c r="C2028" s="334">
        <f t="shared" si="31"/>
        <v>8.6207060013255114E-3</v>
      </c>
    </row>
    <row r="2029" spans="1:3" x14ac:dyDescent="0.3">
      <c r="A2029" s="335">
        <v>42163</v>
      </c>
      <c r="B2029">
        <v>86.704559000000003</v>
      </c>
      <c r="C2029" s="334">
        <f t="shared" si="31"/>
        <v>0</v>
      </c>
    </row>
    <row r="2030" spans="1:3" x14ac:dyDescent="0.3">
      <c r="A2030" s="335">
        <v>42164</v>
      </c>
      <c r="B2030">
        <v>86.334029999999998</v>
      </c>
      <c r="C2030" s="334">
        <f t="shared" si="31"/>
        <v>-4.2734661737914466E-3</v>
      </c>
    </row>
    <row r="2031" spans="1:3" x14ac:dyDescent="0.3">
      <c r="A2031" s="335">
        <v>42165</v>
      </c>
      <c r="B2031">
        <v>86.334029999999998</v>
      </c>
      <c r="C2031" s="334">
        <f t="shared" si="31"/>
        <v>0</v>
      </c>
    </row>
    <row r="2032" spans="1:3" x14ac:dyDescent="0.3">
      <c r="A2032" s="335">
        <v>42166</v>
      </c>
      <c r="B2032">
        <v>87.075080999999997</v>
      </c>
      <c r="C2032" s="334">
        <f t="shared" si="31"/>
        <v>8.5835330517989115E-3</v>
      </c>
    </row>
    <row r="2033" spans="1:3" x14ac:dyDescent="0.3">
      <c r="A2033" s="335">
        <v>42167</v>
      </c>
      <c r="B2033">
        <v>86.334029999999998</v>
      </c>
      <c r="C2033" s="334">
        <f t="shared" si="31"/>
        <v>-8.5104830393439284E-3</v>
      </c>
    </row>
    <row r="2034" spans="1:3" x14ac:dyDescent="0.3">
      <c r="A2034" s="335">
        <v>42170</v>
      </c>
      <c r="B2034">
        <v>85.963493</v>
      </c>
      <c r="C2034" s="334">
        <f t="shared" si="31"/>
        <v>-4.2918997294577677E-3</v>
      </c>
    </row>
    <row r="2035" spans="1:3" x14ac:dyDescent="0.3">
      <c r="A2035" s="335">
        <v>42171</v>
      </c>
      <c r="B2035">
        <v>84.851898000000006</v>
      </c>
      <c r="C2035" s="334">
        <f t="shared" si="31"/>
        <v>-1.2931012470607657E-2</v>
      </c>
    </row>
    <row r="2036" spans="1:3" x14ac:dyDescent="0.3">
      <c r="A2036" s="335">
        <v>42172</v>
      </c>
      <c r="B2036">
        <v>84.110839999999996</v>
      </c>
      <c r="C2036" s="334">
        <f t="shared" si="31"/>
        <v>-8.7335465377569935E-3</v>
      </c>
    </row>
    <row r="2037" spans="1:3" x14ac:dyDescent="0.3">
      <c r="A2037" s="335">
        <v>42173</v>
      </c>
      <c r="B2037">
        <v>84.110839999999996</v>
      </c>
      <c r="C2037" s="334">
        <f t="shared" si="31"/>
        <v>0</v>
      </c>
    </row>
    <row r="2038" spans="1:3" x14ac:dyDescent="0.3">
      <c r="A2038" s="335">
        <v>42174</v>
      </c>
      <c r="B2038">
        <v>83.740295000000003</v>
      </c>
      <c r="C2038" s="334">
        <f t="shared" si="31"/>
        <v>-4.4054369210911794E-3</v>
      </c>
    </row>
    <row r="2039" spans="1:3" x14ac:dyDescent="0.3">
      <c r="A2039" s="335">
        <v>42177</v>
      </c>
      <c r="B2039">
        <v>86.334029999999998</v>
      </c>
      <c r="C2039" s="334">
        <f t="shared" si="31"/>
        <v>3.0973559383806745E-2</v>
      </c>
    </row>
    <row r="2040" spans="1:3" x14ac:dyDescent="0.3">
      <c r="A2040" s="335">
        <v>42178</v>
      </c>
      <c r="B2040">
        <v>88.186684</v>
      </c>
      <c r="C2040" s="334">
        <f t="shared" si="31"/>
        <v>2.1459139576827366E-2</v>
      </c>
    </row>
    <row r="2041" spans="1:3" x14ac:dyDescent="0.3">
      <c r="A2041" s="335">
        <v>42179</v>
      </c>
      <c r="B2041">
        <v>87.445610000000002</v>
      </c>
      <c r="C2041" s="334">
        <f t="shared" si="31"/>
        <v>-8.4034682605822614E-3</v>
      </c>
    </row>
    <row r="2042" spans="1:3" x14ac:dyDescent="0.3">
      <c r="A2042" s="335">
        <v>42180</v>
      </c>
      <c r="B2042">
        <v>85.963493</v>
      </c>
      <c r="C2042" s="334">
        <f t="shared" si="31"/>
        <v>-1.6949015508039823E-2</v>
      </c>
    </row>
    <row r="2043" spans="1:3" x14ac:dyDescent="0.3">
      <c r="A2043" s="335">
        <v>42181</v>
      </c>
      <c r="B2043">
        <v>87.445610000000002</v>
      </c>
      <c r="C2043" s="334">
        <f t="shared" si="31"/>
        <v>1.7241237509974174E-2</v>
      </c>
    </row>
    <row r="2044" spans="1:3" x14ac:dyDescent="0.3">
      <c r="A2044" s="335">
        <v>42184</v>
      </c>
      <c r="B2044">
        <v>85.592963999999995</v>
      </c>
      <c r="C2044" s="334">
        <f t="shared" si="31"/>
        <v>-2.1186266526129868E-2</v>
      </c>
    </row>
    <row r="2045" spans="1:3" x14ac:dyDescent="0.3">
      <c r="A2045" s="335">
        <v>42185</v>
      </c>
      <c r="B2045">
        <v>85.222426999999996</v>
      </c>
      <c r="C2045" s="334">
        <f t="shared" si="31"/>
        <v>-4.3290591035029325E-3</v>
      </c>
    </row>
    <row r="2046" spans="1:3" x14ac:dyDescent="0.3">
      <c r="A2046" s="335">
        <v>42186</v>
      </c>
      <c r="B2046">
        <v>85.592963999999995</v>
      </c>
      <c r="C2046" s="334">
        <f t="shared" si="31"/>
        <v>4.3478813387935874E-3</v>
      </c>
    </row>
    <row r="2047" spans="1:3" x14ac:dyDescent="0.3">
      <c r="A2047" s="335">
        <v>42187</v>
      </c>
      <c r="B2047">
        <v>85.963493</v>
      </c>
      <c r="C2047" s="334">
        <f t="shared" si="31"/>
        <v>4.3289656378765525E-3</v>
      </c>
    </row>
    <row r="2048" spans="1:3" x14ac:dyDescent="0.3">
      <c r="A2048" s="335">
        <v>42188</v>
      </c>
      <c r="B2048">
        <v>86.704559000000003</v>
      </c>
      <c r="C2048" s="334">
        <f t="shared" si="31"/>
        <v>8.6207060013255114E-3</v>
      </c>
    </row>
    <row r="2049" spans="1:3" x14ac:dyDescent="0.3">
      <c r="A2049" s="335">
        <v>42191</v>
      </c>
      <c r="B2049">
        <v>85.592963999999995</v>
      </c>
      <c r="C2049" s="334">
        <f t="shared" si="31"/>
        <v>-1.2820490788725519E-2</v>
      </c>
    </row>
    <row r="2050" spans="1:3" x14ac:dyDescent="0.3">
      <c r="A2050" s="335">
        <v>42192</v>
      </c>
      <c r="B2050">
        <v>84.851898000000006</v>
      </c>
      <c r="C2050" s="334">
        <f t="shared" si="31"/>
        <v>-8.6580247413793193E-3</v>
      </c>
    </row>
    <row r="2051" spans="1:3" x14ac:dyDescent="0.3">
      <c r="A2051" s="335">
        <v>42193</v>
      </c>
      <c r="B2051">
        <v>85.592963999999995</v>
      </c>
      <c r="C2051" s="334">
        <f t="shared" si="31"/>
        <v>8.7336408196784145E-3</v>
      </c>
    </row>
    <row r="2052" spans="1:3" x14ac:dyDescent="0.3">
      <c r="A2052" s="335">
        <v>42194</v>
      </c>
      <c r="B2052">
        <v>88.186684</v>
      </c>
      <c r="C2052" s="334">
        <f t="shared" si="31"/>
        <v>3.0302958079591737E-2</v>
      </c>
    </row>
    <row r="2053" spans="1:3" x14ac:dyDescent="0.3">
      <c r="A2053" s="335">
        <v>42195</v>
      </c>
      <c r="B2053">
        <v>90.039351999999994</v>
      </c>
      <c r="C2053" s="334">
        <f t="shared" si="31"/>
        <v>2.1008477878587589E-2</v>
      </c>
    </row>
    <row r="2054" spans="1:3" x14ac:dyDescent="0.3">
      <c r="A2054" s="335">
        <v>42198</v>
      </c>
      <c r="B2054">
        <v>91.150954999999996</v>
      </c>
      <c r="C2054" s="334">
        <f t="shared" ref="C2054:C2117" si="32">(B2054-B2053)/B2053</f>
        <v>1.2345746335446777E-2</v>
      </c>
    </row>
    <row r="2055" spans="1:3" x14ac:dyDescent="0.3">
      <c r="A2055" s="335">
        <v>42199</v>
      </c>
      <c r="B2055">
        <v>90.409881999999996</v>
      </c>
      <c r="C2055" s="334">
        <f t="shared" si="32"/>
        <v>-8.1301726350535789E-3</v>
      </c>
    </row>
    <row r="2056" spans="1:3" x14ac:dyDescent="0.3">
      <c r="A2056" s="335">
        <v>42200</v>
      </c>
      <c r="B2056">
        <v>90.409881999999996</v>
      </c>
      <c r="C2056" s="334">
        <f t="shared" si="32"/>
        <v>0</v>
      </c>
    </row>
    <row r="2057" spans="1:3" x14ac:dyDescent="0.3">
      <c r="A2057" s="335">
        <v>42201</v>
      </c>
      <c r="B2057">
        <v>92.633080000000007</v>
      </c>
      <c r="C2057" s="334">
        <f t="shared" si="32"/>
        <v>2.4590210171936855E-2</v>
      </c>
    </row>
    <row r="2058" spans="1:3" x14ac:dyDescent="0.3">
      <c r="A2058" s="335">
        <v>42202</v>
      </c>
      <c r="B2058">
        <v>93.003601000000003</v>
      </c>
      <c r="C2058" s="334">
        <f t="shared" si="32"/>
        <v>3.9998777974347447E-3</v>
      </c>
    </row>
    <row r="2059" spans="1:3" x14ac:dyDescent="0.3">
      <c r="A2059" s="335">
        <v>42205</v>
      </c>
      <c r="B2059">
        <v>92.633080000000007</v>
      </c>
      <c r="C2059" s="334">
        <f t="shared" si="32"/>
        <v>-3.9839425142258363E-3</v>
      </c>
    </row>
    <row r="2060" spans="1:3" x14ac:dyDescent="0.3">
      <c r="A2060" s="335">
        <v>42206</v>
      </c>
      <c r="B2060">
        <v>92.633080000000007</v>
      </c>
      <c r="C2060" s="334">
        <f t="shared" si="32"/>
        <v>0</v>
      </c>
    </row>
    <row r="2061" spans="1:3" x14ac:dyDescent="0.3">
      <c r="A2061" s="335">
        <v>42207</v>
      </c>
      <c r="B2061">
        <v>92.262550000000005</v>
      </c>
      <c r="C2061" s="334">
        <f t="shared" si="32"/>
        <v>-3.9999749549513219E-3</v>
      </c>
    </row>
    <row r="2062" spans="1:3" x14ac:dyDescent="0.3">
      <c r="A2062" s="335">
        <v>42208</v>
      </c>
      <c r="B2062">
        <v>91.521484000000001</v>
      </c>
      <c r="C2062" s="334">
        <f t="shared" si="32"/>
        <v>-8.0321430526253991E-3</v>
      </c>
    </row>
    <row r="2063" spans="1:3" x14ac:dyDescent="0.3">
      <c r="A2063" s="335">
        <v>42209</v>
      </c>
      <c r="B2063">
        <v>93.374138000000002</v>
      </c>
      <c r="C2063" s="334">
        <f t="shared" si="32"/>
        <v>2.0242831726810736E-2</v>
      </c>
    </row>
    <row r="2064" spans="1:3" x14ac:dyDescent="0.3">
      <c r="A2064" s="335">
        <v>42212</v>
      </c>
      <c r="B2064">
        <v>91.150954999999996</v>
      </c>
      <c r="C2064" s="334">
        <f t="shared" si="32"/>
        <v>-2.3809408553790407E-2</v>
      </c>
    </row>
    <row r="2065" spans="1:3" x14ac:dyDescent="0.3">
      <c r="A2065" s="335">
        <v>42213</v>
      </c>
      <c r="B2065">
        <v>92.633080000000007</v>
      </c>
      <c r="C2065" s="334">
        <f t="shared" si="32"/>
        <v>1.6260114883053178E-2</v>
      </c>
    </row>
    <row r="2066" spans="1:3" x14ac:dyDescent="0.3">
      <c r="A2066" s="335">
        <v>42214</v>
      </c>
      <c r="B2066">
        <v>93.744675000000001</v>
      </c>
      <c r="C2066" s="334">
        <f t="shared" si="32"/>
        <v>1.1999978841251894E-2</v>
      </c>
    </row>
    <row r="2067" spans="1:3" x14ac:dyDescent="0.3">
      <c r="A2067" s="335">
        <v>42215</v>
      </c>
      <c r="B2067">
        <v>94.485732999999996</v>
      </c>
      <c r="C2067" s="334">
        <f t="shared" si="32"/>
        <v>7.905067674510529E-3</v>
      </c>
    </row>
    <row r="2068" spans="1:3" x14ac:dyDescent="0.3">
      <c r="A2068" s="335">
        <v>42216</v>
      </c>
      <c r="B2068">
        <v>95.597335999999999</v>
      </c>
      <c r="C2068" s="334">
        <f t="shared" si="32"/>
        <v>1.1764770878160011E-2</v>
      </c>
    </row>
    <row r="2069" spans="1:3" x14ac:dyDescent="0.3">
      <c r="A2069" s="335">
        <v>42219</v>
      </c>
      <c r="B2069">
        <v>95.967856999999995</v>
      </c>
      <c r="C2069" s="334">
        <f t="shared" si="32"/>
        <v>3.8758506827009966E-3</v>
      </c>
    </row>
    <row r="2070" spans="1:3" x14ac:dyDescent="0.3">
      <c r="A2070" s="335">
        <v>42220</v>
      </c>
      <c r="B2070">
        <v>96.708922999999999</v>
      </c>
      <c r="C2070" s="334">
        <f t="shared" si="32"/>
        <v>7.7220230102669025E-3</v>
      </c>
    </row>
    <row r="2071" spans="1:3" x14ac:dyDescent="0.3">
      <c r="A2071" s="335">
        <v>42221</v>
      </c>
      <c r="B2071">
        <v>97.079459999999997</v>
      </c>
      <c r="C2071" s="334">
        <f t="shared" si="32"/>
        <v>3.8314665131778873E-3</v>
      </c>
    </row>
    <row r="2072" spans="1:3" x14ac:dyDescent="0.3">
      <c r="A2072" s="335">
        <v>42222</v>
      </c>
      <c r="B2072">
        <v>97.449996999999996</v>
      </c>
      <c r="C2072" s="334">
        <f t="shared" si="32"/>
        <v>3.8168424093005747E-3</v>
      </c>
    </row>
    <row r="2073" spans="1:3" x14ac:dyDescent="0.3">
      <c r="A2073" s="335">
        <v>42223</v>
      </c>
      <c r="B2073">
        <v>98.561592000000005</v>
      </c>
      <c r="C2073" s="334">
        <f t="shared" si="32"/>
        <v>1.1406824363473386E-2</v>
      </c>
    </row>
    <row r="2074" spans="1:3" x14ac:dyDescent="0.3">
      <c r="A2074" s="335">
        <v>42226</v>
      </c>
      <c r="B2074">
        <v>99.673186999999999</v>
      </c>
      <c r="C2074" s="334">
        <f t="shared" si="32"/>
        <v>1.1278176188550142E-2</v>
      </c>
    </row>
    <row r="2075" spans="1:3" x14ac:dyDescent="0.3">
      <c r="A2075" s="335">
        <v>42227</v>
      </c>
      <c r="B2075">
        <v>98.932120999999995</v>
      </c>
      <c r="C2075" s="334">
        <f t="shared" si="32"/>
        <v>-7.4349584106305697E-3</v>
      </c>
    </row>
    <row r="2076" spans="1:3" x14ac:dyDescent="0.3">
      <c r="A2076" s="335">
        <v>42228</v>
      </c>
      <c r="B2076">
        <v>97.449996999999996</v>
      </c>
      <c r="C2076" s="334">
        <f t="shared" si="32"/>
        <v>-1.4981221316381148E-2</v>
      </c>
    </row>
    <row r="2077" spans="1:3" x14ac:dyDescent="0.3">
      <c r="A2077" s="335">
        <v>42229</v>
      </c>
      <c r="B2077">
        <v>99.673186999999999</v>
      </c>
      <c r="C2077" s="334">
        <f t="shared" si="32"/>
        <v>2.2813648726946627E-2</v>
      </c>
    </row>
    <row r="2078" spans="1:3" x14ac:dyDescent="0.3">
      <c r="A2078" s="335">
        <v>42230</v>
      </c>
      <c r="B2078">
        <v>98.561592000000005</v>
      </c>
      <c r="C2078" s="334">
        <f t="shared" si="32"/>
        <v>-1.1152397484791915E-2</v>
      </c>
    </row>
    <row r="2079" spans="1:3" x14ac:dyDescent="0.3">
      <c r="A2079" s="335">
        <v>42233</v>
      </c>
      <c r="B2079">
        <v>98.561592000000005</v>
      </c>
      <c r="C2079" s="334">
        <f t="shared" si="32"/>
        <v>0</v>
      </c>
    </row>
    <row r="2080" spans="1:3" x14ac:dyDescent="0.3">
      <c r="A2080" s="335">
        <v>42234</v>
      </c>
      <c r="B2080">
        <v>101.525848</v>
      </c>
      <c r="C2080" s="334">
        <f t="shared" si="32"/>
        <v>3.0075163558640487E-2</v>
      </c>
    </row>
    <row r="2081" spans="1:3" x14ac:dyDescent="0.3">
      <c r="A2081" s="335">
        <v>42235</v>
      </c>
      <c r="B2081">
        <v>102.266914</v>
      </c>
      <c r="C2081" s="334">
        <f t="shared" si="32"/>
        <v>7.2992840207550258E-3</v>
      </c>
    </row>
    <row r="2082" spans="1:3" x14ac:dyDescent="0.3">
      <c r="A2082" s="335">
        <v>42236</v>
      </c>
      <c r="B2082">
        <v>99.673186999999999</v>
      </c>
      <c r="C2082" s="334">
        <f t="shared" si="32"/>
        <v>-2.5362327839480923E-2</v>
      </c>
    </row>
    <row r="2083" spans="1:3" x14ac:dyDescent="0.3">
      <c r="A2083" s="335">
        <v>42237</v>
      </c>
      <c r="B2083">
        <v>95.597335999999999</v>
      </c>
      <c r="C2083" s="334">
        <f t="shared" si="32"/>
        <v>-4.0892150865006457E-2</v>
      </c>
    </row>
    <row r="2084" spans="1:3" x14ac:dyDescent="0.3">
      <c r="A2084" s="335">
        <v>42240</v>
      </c>
      <c r="B2084">
        <v>91.521484000000001</v>
      </c>
      <c r="C2084" s="334">
        <f t="shared" si="32"/>
        <v>-4.2635623235358751E-2</v>
      </c>
    </row>
    <row r="2085" spans="1:3" x14ac:dyDescent="0.3">
      <c r="A2085" s="335">
        <v>42241</v>
      </c>
      <c r="B2085">
        <v>93.374138000000002</v>
      </c>
      <c r="C2085" s="334">
        <f t="shared" si="32"/>
        <v>2.0242831726810736E-2</v>
      </c>
    </row>
    <row r="2086" spans="1:3" x14ac:dyDescent="0.3">
      <c r="A2086" s="335">
        <v>42242</v>
      </c>
      <c r="B2086">
        <v>91.150954999999996</v>
      </c>
      <c r="C2086" s="334">
        <f t="shared" si="32"/>
        <v>-2.3809408553790407E-2</v>
      </c>
    </row>
    <row r="2087" spans="1:3" x14ac:dyDescent="0.3">
      <c r="A2087" s="335">
        <v>42243</v>
      </c>
      <c r="B2087">
        <v>90.039351999999994</v>
      </c>
      <c r="C2087" s="334">
        <f t="shared" si="32"/>
        <v>-1.2195187642301744E-2</v>
      </c>
    </row>
    <row r="2088" spans="1:3" x14ac:dyDescent="0.3">
      <c r="A2088" s="335">
        <v>42244</v>
      </c>
      <c r="B2088">
        <v>90.780417999999997</v>
      </c>
      <c r="C2088" s="334">
        <f t="shared" si="32"/>
        <v>8.2304679402846383E-3</v>
      </c>
    </row>
    <row r="2089" spans="1:3" x14ac:dyDescent="0.3">
      <c r="A2089" s="335">
        <v>42247</v>
      </c>
      <c r="B2089">
        <v>93.374138000000002</v>
      </c>
      <c r="C2089" s="334">
        <f t="shared" si="32"/>
        <v>2.8571359960030199E-2</v>
      </c>
    </row>
    <row r="2090" spans="1:3" x14ac:dyDescent="0.3">
      <c r="A2090" s="335">
        <v>42248</v>
      </c>
      <c r="B2090">
        <v>90.780417999999997</v>
      </c>
      <c r="C2090" s="334">
        <f t="shared" si="32"/>
        <v>-2.7777712925178541E-2</v>
      </c>
    </row>
    <row r="2091" spans="1:3" x14ac:dyDescent="0.3">
      <c r="A2091" s="335">
        <v>42249</v>
      </c>
      <c r="B2091">
        <v>90.409881999999996</v>
      </c>
      <c r="C2091" s="334">
        <f t="shared" si="32"/>
        <v>-4.0816732084225623E-3</v>
      </c>
    </row>
    <row r="2092" spans="1:3" x14ac:dyDescent="0.3">
      <c r="A2092" s="335">
        <v>42250</v>
      </c>
      <c r="B2092">
        <v>92.633080000000007</v>
      </c>
      <c r="C2092" s="334">
        <f t="shared" si="32"/>
        <v>2.4590210171936855E-2</v>
      </c>
    </row>
    <row r="2093" spans="1:3" x14ac:dyDescent="0.3">
      <c r="A2093" s="335">
        <v>42251</v>
      </c>
      <c r="B2093">
        <v>91.150954999999996</v>
      </c>
      <c r="C2093" s="334">
        <f t="shared" si="32"/>
        <v>-1.5999953796203371E-2</v>
      </c>
    </row>
    <row r="2094" spans="1:3" x14ac:dyDescent="0.3">
      <c r="A2094" s="335">
        <v>42254</v>
      </c>
      <c r="B2094">
        <v>91.521484000000001</v>
      </c>
      <c r="C2094" s="334">
        <f t="shared" si="32"/>
        <v>4.0650040364360943E-3</v>
      </c>
    </row>
    <row r="2095" spans="1:3" x14ac:dyDescent="0.3">
      <c r="A2095" s="335">
        <v>42255</v>
      </c>
      <c r="B2095">
        <v>92.262550000000005</v>
      </c>
      <c r="C2095" s="334">
        <f t="shared" si="32"/>
        <v>8.0971807668678494E-3</v>
      </c>
    </row>
    <row r="2096" spans="1:3" x14ac:dyDescent="0.3">
      <c r="A2096" s="335">
        <v>42256</v>
      </c>
      <c r="B2096">
        <v>94.856277000000006</v>
      </c>
      <c r="C2096" s="334">
        <f t="shared" si="32"/>
        <v>2.8112457329653267E-2</v>
      </c>
    </row>
    <row r="2097" spans="1:3" x14ac:dyDescent="0.3">
      <c r="A2097" s="335">
        <v>42257</v>
      </c>
      <c r="B2097">
        <v>93.374138000000002</v>
      </c>
      <c r="C2097" s="334">
        <f t="shared" si="32"/>
        <v>-1.5625101963468412E-2</v>
      </c>
    </row>
    <row r="2098" spans="1:3" x14ac:dyDescent="0.3">
      <c r="A2098" s="335">
        <v>42258</v>
      </c>
      <c r="B2098">
        <v>95.967856999999995</v>
      </c>
      <c r="C2098" s="334">
        <f t="shared" si="32"/>
        <v>2.7777702215574861E-2</v>
      </c>
    </row>
    <row r="2099" spans="1:3" x14ac:dyDescent="0.3">
      <c r="A2099" s="335">
        <v>42261</v>
      </c>
      <c r="B2099">
        <v>96.338393999999994</v>
      </c>
      <c r="C2099" s="334">
        <f t="shared" si="32"/>
        <v>3.8610531857557139E-3</v>
      </c>
    </row>
    <row r="2100" spans="1:3" x14ac:dyDescent="0.3">
      <c r="A2100" s="335">
        <v>42262</v>
      </c>
      <c r="B2100">
        <v>95.967856999999995</v>
      </c>
      <c r="C2100" s="334">
        <f t="shared" si="32"/>
        <v>-3.8462027922117822E-3</v>
      </c>
    </row>
    <row r="2101" spans="1:3" x14ac:dyDescent="0.3">
      <c r="A2101" s="335">
        <v>42263</v>
      </c>
      <c r="B2101">
        <v>99.302666000000002</v>
      </c>
      <c r="C2101" s="334">
        <f t="shared" si="32"/>
        <v>3.4749228588067851E-2</v>
      </c>
    </row>
    <row r="2102" spans="1:3" x14ac:dyDescent="0.3">
      <c r="A2102" s="335">
        <v>42264</v>
      </c>
      <c r="B2102">
        <v>99.673186999999999</v>
      </c>
      <c r="C2102" s="334">
        <f t="shared" si="32"/>
        <v>3.7312291293367344E-3</v>
      </c>
    </row>
    <row r="2103" spans="1:3" x14ac:dyDescent="0.3">
      <c r="A2103" s="335">
        <v>42265</v>
      </c>
      <c r="B2103">
        <v>99.302666000000002</v>
      </c>
      <c r="C2103" s="334">
        <f t="shared" si="32"/>
        <v>-3.7173588118537492E-3</v>
      </c>
    </row>
    <row r="2104" spans="1:3" x14ac:dyDescent="0.3">
      <c r="A2104" s="335">
        <v>42268</v>
      </c>
      <c r="B2104">
        <v>97.079459999999997</v>
      </c>
      <c r="C2104" s="334">
        <f t="shared" si="32"/>
        <v>-2.2388180393867821E-2</v>
      </c>
    </row>
    <row r="2105" spans="1:3" x14ac:dyDescent="0.3">
      <c r="A2105" s="335">
        <v>42269</v>
      </c>
      <c r="B2105">
        <v>96.338393999999994</v>
      </c>
      <c r="C2105" s="334">
        <f t="shared" si="32"/>
        <v>-7.6336024118799544E-3</v>
      </c>
    </row>
    <row r="2106" spans="1:3" x14ac:dyDescent="0.3">
      <c r="A2106" s="335">
        <v>42270</v>
      </c>
      <c r="B2106">
        <v>96.338393999999994</v>
      </c>
      <c r="C2106" s="334">
        <f t="shared" si="32"/>
        <v>0</v>
      </c>
    </row>
    <row r="2107" spans="1:3" x14ac:dyDescent="0.3">
      <c r="A2107" s="335">
        <v>42271</v>
      </c>
      <c r="B2107">
        <v>97.449996999999996</v>
      </c>
      <c r="C2107" s="334">
        <f t="shared" si="32"/>
        <v>1.1538525336015073E-2</v>
      </c>
    </row>
    <row r="2108" spans="1:3" x14ac:dyDescent="0.3">
      <c r="A2108" s="335">
        <v>42272</v>
      </c>
      <c r="B2108">
        <v>99.673186999999999</v>
      </c>
      <c r="C2108" s="334">
        <f t="shared" si="32"/>
        <v>2.2813648726946627E-2</v>
      </c>
    </row>
    <row r="2109" spans="1:3" x14ac:dyDescent="0.3">
      <c r="A2109" s="335">
        <v>42275</v>
      </c>
      <c r="B2109">
        <v>98.932120999999995</v>
      </c>
      <c r="C2109" s="334">
        <f t="shared" si="32"/>
        <v>-7.4349584106305697E-3</v>
      </c>
    </row>
    <row r="2110" spans="1:3" x14ac:dyDescent="0.3">
      <c r="A2110" s="335">
        <v>42276</v>
      </c>
      <c r="B2110">
        <v>98.932120999999995</v>
      </c>
      <c r="C2110" s="334">
        <f t="shared" si="32"/>
        <v>0</v>
      </c>
    </row>
    <row r="2111" spans="1:3" x14ac:dyDescent="0.3">
      <c r="A2111" s="335">
        <v>42277</v>
      </c>
      <c r="B2111">
        <v>99.673186999999999</v>
      </c>
      <c r="C2111" s="334">
        <f t="shared" si="32"/>
        <v>7.4906510899529141E-3</v>
      </c>
    </row>
    <row r="2112" spans="1:3" x14ac:dyDescent="0.3">
      <c r="A2112" s="335">
        <v>42278</v>
      </c>
      <c r="B2112">
        <v>100.78479</v>
      </c>
      <c r="C2112" s="334">
        <f t="shared" si="32"/>
        <v>1.1152477747099652E-2</v>
      </c>
    </row>
    <row r="2113" spans="1:3" x14ac:dyDescent="0.3">
      <c r="A2113" s="335">
        <v>42279</v>
      </c>
      <c r="B2113">
        <v>99.673186999999999</v>
      </c>
      <c r="C2113" s="334">
        <f t="shared" si="32"/>
        <v>-1.1029471808196478E-2</v>
      </c>
    </row>
    <row r="2114" spans="1:3" x14ac:dyDescent="0.3">
      <c r="A2114" s="335">
        <v>42282</v>
      </c>
      <c r="B2114">
        <v>104.11958300000001</v>
      </c>
      <c r="C2114" s="334">
        <f t="shared" si="32"/>
        <v>4.4609750463783279E-2</v>
      </c>
    </row>
    <row r="2115" spans="1:3" x14ac:dyDescent="0.3">
      <c r="A2115" s="335">
        <v>42283</v>
      </c>
      <c r="B2115">
        <v>104.860657</v>
      </c>
      <c r="C2115" s="334">
        <f t="shared" si="32"/>
        <v>7.1175275452265065E-3</v>
      </c>
    </row>
    <row r="2116" spans="1:3" x14ac:dyDescent="0.3">
      <c r="A2116" s="335">
        <v>42284</v>
      </c>
      <c r="B2116">
        <v>101.896378</v>
      </c>
      <c r="C2116" s="334">
        <f t="shared" si="32"/>
        <v>-2.8268743347659976E-2</v>
      </c>
    </row>
    <row r="2117" spans="1:3" x14ac:dyDescent="0.3">
      <c r="A2117" s="335">
        <v>42285</v>
      </c>
      <c r="B2117">
        <v>99.673186999999999</v>
      </c>
      <c r="C2117" s="334">
        <f t="shared" si="32"/>
        <v>-2.1818155302831273E-2</v>
      </c>
    </row>
    <row r="2118" spans="1:3" x14ac:dyDescent="0.3">
      <c r="A2118" s="335">
        <v>42286</v>
      </c>
      <c r="B2118">
        <v>99.673186999999999</v>
      </c>
      <c r="C2118" s="334">
        <f t="shared" ref="C2118:C2181" si="33">(B2118-B2117)/B2117</f>
        <v>0</v>
      </c>
    </row>
    <row r="2119" spans="1:3" x14ac:dyDescent="0.3">
      <c r="A2119" s="335">
        <v>42289</v>
      </c>
      <c r="B2119">
        <v>101.525848</v>
      </c>
      <c r="C2119" s="334">
        <f t="shared" si="33"/>
        <v>1.8587355895422483E-2</v>
      </c>
    </row>
    <row r="2120" spans="1:3" x14ac:dyDescent="0.3">
      <c r="A2120" s="335">
        <v>42290</v>
      </c>
      <c r="B2120">
        <v>101.525848</v>
      </c>
      <c r="C2120" s="334">
        <f t="shared" si="33"/>
        <v>0</v>
      </c>
    </row>
    <row r="2121" spans="1:3" x14ac:dyDescent="0.3">
      <c r="A2121" s="335">
        <v>42291</v>
      </c>
      <c r="B2121">
        <v>98.932120999999995</v>
      </c>
      <c r="C2121" s="334">
        <f t="shared" si="33"/>
        <v>-2.5547454673808794E-2</v>
      </c>
    </row>
    <row r="2122" spans="1:3" x14ac:dyDescent="0.3">
      <c r="A2122" s="335">
        <v>42292</v>
      </c>
      <c r="B2122">
        <v>96.338393999999994</v>
      </c>
      <c r="C2122" s="334">
        <f t="shared" si="33"/>
        <v>-2.6217238383072789E-2</v>
      </c>
    </row>
    <row r="2123" spans="1:3" x14ac:dyDescent="0.3">
      <c r="A2123" s="335">
        <v>42293</v>
      </c>
      <c r="B2123">
        <v>93.003601000000003</v>
      </c>
      <c r="C2123" s="334">
        <f t="shared" si="33"/>
        <v>-3.4615409926804369E-2</v>
      </c>
    </row>
    <row r="2124" spans="1:3" x14ac:dyDescent="0.3">
      <c r="A2124" s="335">
        <v>42296</v>
      </c>
      <c r="B2124">
        <v>93.374138000000002</v>
      </c>
      <c r="C2124" s="334">
        <f t="shared" si="33"/>
        <v>3.9841145505752924E-3</v>
      </c>
    </row>
    <row r="2125" spans="1:3" x14ac:dyDescent="0.3">
      <c r="A2125" s="335">
        <v>42297</v>
      </c>
      <c r="B2125">
        <v>97.079459999999997</v>
      </c>
      <c r="C2125" s="334">
        <f t="shared" si="33"/>
        <v>3.9682529652910907E-2</v>
      </c>
    </row>
    <row r="2126" spans="1:3" x14ac:dyDescent="0.3">
      <c r="A2126" s="335">
        <v>42298</v>
      </c>
      <c r="B2126">
        <v>99.302666000000002</v>
      </c>
      <c r="C2126" s="334">
        <f t="shared" si="33"/>
        <v>2.2900889642361057E-2</v>
      </c>
    </row>
    <row r="2127" spans="1:3" x14ac:dyDescent="0.3">
      <c r="A2127" s="335">
        <v>42299</v>
      </c>
      <c r="B2127">
        <v>98.561592000000005</v>
      </c>
      <c r="C2127" s="334">
        <f t="shared" si="33"/>
        <v>-7.4627805058123768E-3</v>
      </c>
    </row>
    <row r="2128" spans="1:3" x14ac:dyDescent="0.3">
      <c r="A2128" s="335">
        <v>42300</v>
      </c>
      <c r="B2128">
        <v>99.302666000000002</v>
      </c>
      <c r="C2128" s="334">
        <f t="shared" si="33"/>
        <v>7.5188923490602461E-3</v>
      </c>
    </row>
    <row r="2129" spans="1:3" x14ac:dyDescent="0.3">
      <c r="A2129" s="335">
        <v>42303</v>
      </c>
      <c r="B2129">
        <v>99.302666000000002</v>
      </c>
      <c r="C2129" s="334">
        <f t="shared" si="33"/>
        <v>0</v>
      </c>
    </row>
    <row r="2130" spans="1:3" x14ac:dyDescent="0.3">
      <c r="A2130" s="335">
        <v>42304</v>
      </c>
      <c r="B2130">
        <v>98.932120999999995</v>
      </c>
      <c r="C2130" s="334">
        <f t="shared" si="33"/>
        <v>-3.7314708146909872E-3</v>
      </c>
    </row>
    <row r="2131" spans="1:3" x14ac:dyDescent="0.3">
      <c r="A2131" s="335">
        <v>42305</v>
      </c>
      <c r="B2131">
        <v>102.266914</v>
      </c>
      <c r="C2131" s="334">
        <f t="shared" si="33"/>
        <v>3.37078894730257E-2</v>
      </c>
    </row>
    <row r="2132" spans="1:3" x14ac:dyDescent="0.3">
      <c r="A2132" s="335">
        <v>42306</v>
      </c>
      <c r="B2132">
        <v>103.749039</v>
      </c>
      <c r="C2132" s="334">
        <f t="shared" si="33"/>
        <v>1.4492712667559289E-2</v>
      </c>
    </row>
    <row r="2133" spans="1:3" x14ac:dyDescent="0.3">
      <c r="A2133" s="335">
        <v>42307</v>
      </c>
      <c r="B2133">
        <v>103.007988</v>
      </c>
      <c r="C2133" s="334">
        <f t="shared" si="33"/>
        <v>-7.1427264015428505E-3</v>
      </c>
    </row>
    <row r="2134" spans="1:3" x14ac:dyDescent="0.3">
      <c r="A2134" s="335">
        <v>42310</v>
      </c>
      <c r="B2134">
        <v>105.231178</v>
      </c>
      <c r="C2134" s="334">
        <f t="shared" si="33"/>
        <v>2.1582695120692993E-2</v>
      </c>
    </row>
    <row r="2135" spans="1:3" x14ac:dyDescent="0.3">
      <c r="A2135" s="335">
        <v>42311</v>
      </c>
      <c r="B2135">
        <v>104.11958300000001</v>
      </c>
      <c r="C2135" s="334">
        <f t="shared" si="33"/>
        <v>-1.0563361744368139E-2</v>
      </c>
    </row>
    <row r="2136" spans="1:3" x14ac:dyDescent="0.3">
      <c r="A2136" s="335">
        <v>42312</v>
      </c>
      <c r="B2136">
        <v>103.749039</v>
      </c>
      <c r="C2136" s="334">
        <f t="shared" si="33"/>
        <v>-3.5588310030017071E-3</v>
      </c>
    </row>
    <row r="2137" spans="1:3" x14ac:dyDescent="0.3">
      <c r="A2137" s="335">
        <v>42313</v>
      </c>
      <c r="B2137">
        <v>104.860657</v>
      </c>
      <c r="C2137" s="334">
        <f t="shared" si="33"/>
        <v>1.0714489606019456E-2</v>
      </c>
    </row>
    <row r="2138" spans="1:3" x14ac:dyDescent="0.3">
      <c r="A2138" s="335">
        <v>42314</v>
      </c>
      <c r="B2138">
        <v>103.007988</v>
      </c>
      <c r="C2138" s="334">
        <f t="shared" si="33"/>
        <v>-1.7667913333787387E-2</v>
      </c>
    </row>
    <row r="2139" spans="1:3" x14ac:dyDescent="0.3">
      <c r="A2139" s="335">
        <v>42317</v>
      </c>
      <c r="B2139">
        <v>103.749039</v>
      </c>
      <c r="C2139" s="334">
        <f t="shared" si="33"/>
        <v>7.1941119750829306E-3</v>
      </c>
    </row>
    <row r="2140" spans="1:3" x14ac:dyDescent="0.3">
      <c r="A2140" s="335">
        <v>42318</v>
      </c>
      <c r="B2140">
        <v>106.342766</v>
      </c>
      <c r="C2140" s="334">
        <f t="shared" si="33"/>
        <v>2.5000009879609597E-2</v>
      </c>
    </row>
    <row r="2141" spans="1:3" x14ac:dyDescent="0.3">
      <c r="A2141" s="335">
        <v>42319</v>
      </c>
      <c r="B2141">
        <v>105.231178</v>
      </c>
      <c r="C2141" s="334">
        <f t="shared" si="33"/>
        <v>-1.0452878383847921E-2</v>
      </c>
    </row>
    <row r="2142" spans="1:3" x14ac:dyDescent="0.3">
      <c r="A2142" s="335">
        <v>42320</v>
      </c>
      <c r="B2142">
        <v>106.342766</v>
      </c>
      <c r="C2142" s="334">
        <f t="shared" si="33"/>
        <v>1.0563295224158734E-2</v>
      </c>
    </row>
    <row r="2143" spans="1:3" x14ac:dyDescent="0.3">
      <c r="A2143" s="335">
        <v>42321</v>
      </c>
      <c r="B2143">
        <v>104.490112</v>
      </c>
      <c r="C2143" s="334">
        <f t="shared" si="33"/>
        <v>-1.7421532932479875E-2</v>
      </c>
    </row>
    <row r="2144" spans="1:3" x14ac:dyDescent="0.3">
      <c r="A2144" s="335">
        <v>42324</v>
      </c>
      <c r="B2144">
        <v>103.007988</v>
      </c>
      <c r="C2144" s="334">
        <f t="shared" si="33"/>
        <v>-1.4184346936100508E-2</v>
      </c>
    </row>
    <row r="2145" spans="1:3" x14ac:dyDescent="0.3">
      <c r="A2145" s="335">
        <v>42325</v>
      </c>
      <c r="B2145">
        <v>103.749039</v>
      </c>
      <c r="C2145" s="334">
        <f t="shared" si="33"/>
        <v>7.1941119750829306E-3</v>
      </c>
    </row>
    <row r="2146" spans="1:3" x14ac:dyDescent="0.3">
      <c r="A2146" s="335">
        <v>42326</v>
      </c>
      <c r="B2146">
        <v>103.37851000000001</v>
      </c>
      <c r="C2146" s="334">
        <f t="shared" si="33"/>
        <v>-3.5713969360235769E-3</v>
      </c>
    </row>
    <row r="2147" spans="1:3" x14ac:dyDescent="0.3">
      <c r="A2147" s="335">
        <v>42327</v>
      </c>
      <c r="B2147">
        <v>104.490112</v>
      </c>
      <c r="C2147" s="334">
        <f t="shared" si="33"/>
        <v>1.0752737682135201E-2</v>
      </c>
    </row>
    <row r="2148" spans="1:3" x14ac:dyDescent="0.3">
      <c r="A2148" s="335">
        <v>42328</v>
      </c>
      <c r="B2148">
        <v>105.601707</v>
      </c>
      <c r="C2148" s="334">
        <f t="shared" si="33"/>
        <v>1.0638279342642569E-2</v>
      </c>
    </row>
    <row r="2149" spans="1:3" x14ac:dyDescent="0.3">
      <c r="A2149" s="335">
        <v>42331</v>
      </c>
      <c r="B2149">
        <v>105.972244</v>
      </c>
      <c r="C2149" s="334">
        <f t="shared" si="33"/>
        <v>3.5088163868411595E-3</v>
      </c>
    </row>
    <row r="2150" spans="1:3" x14ac:dyDescent="0.3">
      <c r="A2150" s="335">
        <v>42332</v>
      </c>
      <c r="B2150">
        <v>104.860657</v>
      </c>
      <c r="C2150" s="334">
        <f t="shared" si="33"/>
        <v>-1.0489416455123853E-2</v>
      </c>
    </row>
    <row r="2151" spans="1:3" x14ac:dyDescent="0.3">
      <c r="A2151" s="335">
        <v>42333</v>
      </c>
      <c r="B2151">
        <v>103.37851000000001</v>
      </c>
      <c r="C2151" s="334">
        <f t="shared" si="33"/>
        <v>-1.4134443197318491E-2</v>
      </c>
    </row>
    <row r="2152" spans="1:3" x14ac:dyDescent="0.3">
      <c r="A2152" s="335">
        <v>42334</v>
      </c>
      <c r="B2152">
        <v>103.007988</v>
      </c>
      <c r="C2152" s="334">
        <f t="shared" si="33"/>
        <v>-3.5841298157615951E-3</v>
      </c>
    </row>
    <row r="2153" spans="1:3" x14ac:dyDescent="0.3">
      <c r="A2153" s="335">
        <v>42335</v>
      </c>
      <c r="B2153">
        <v>105.601707</v>
      </c>
      <c r="C2153" s="334">
        <f t="shared" si="33"/>
        <v>2.5179785086181929E-2</v>
      </c>
    </row>
    <row r="2154" spans="1:3" x14ac:dyDescent="0.3">
      <c r="A2154" s="335">
        <v>42338</v>
      </c>
      <c r="B2154">
        <v>108.195419</v>
      </c>
      <c r="C2154" s="334">
        <f t="shared" si="33"/>
        <v>2.456126963932502E-2</v>
      </c>
    </row>
    <row r="2155" spans="1:3" x14ac:dyDescent="0.3">
      <c r="A2155" s="335">
        <v>42339</v>
      </c>
      <c r="B2155">
        <v>108.936493</v>
      </c>
      <c r="C2155" s="334">
        <f t="shared" si="33"/>
        <v>6.849402745970211E-3</v>
      </c>
    </row>
    <row r="2156" spans="1:3" x14ac:dyDescent="0.3">
      <c r="A2156" s="335">
        <v>42340</v>
      </c>
      <c r="B2156">
        <v>110.789154</v>
      </c>
      <c r="C2156" s="334">
        <f t="shared" si="33"/>
        <v>1.7006798630831613E-2</v>
      </c>
    </row>
    <row r="2157" spans="1:3" x14ac:dyDescent="0.3">
      <c r="A2157" s="335">
        <v>42341</v>
      </c>
      <c r="B2157">
        <v>109.677567</v>
      </c>
      <c r="C2157" s="334">
        <f t="shared" si="33"/>
        <v>-1.0033355792210491E-2</v>
      </c>
    </row>
    <row r="2158" spans="1:3" x14ac:dyDescent="0.3">
      <c r="A2158" s="335">
        <v>42342</v>
      </c>
      <c r="B2158">
        <v>110.41862500000001</v>
      </c>
      <c r="C2158" s="334">
        <f t="shared" si="33"/>
        <v>6.7566961984122931E-3</v>
      </c>
    </row>
    <row r="2159" spans="1:3" x14ac:dyDescent="0.3">
      <c r="A2159" s="335">
        <v>42345</v>
      </c>
      <c r="B2159">
        <v>110.41862500000001</v>
      </c>
      <c r="C2159" s="334">
        <f t="shared" si="33"/>
        <v>0</v>
      </c>
    </row>
    <row r="2160" spans="1:3" x14ac:dyDescent="0.3">
      <c r="A2160" s="335">
        <v>42346</v>
      </c>
      <c r="B2160">
        <v>108.936493</v>
      </c>
      <c r="C2160" s="334">
        <f t="shared" si="33"/>
        <v>-1.342284419861239E-2</v>
      </c>
    </row>
    <row r="2161" spans="1:3" x14ac:dyDescent="0.3">
      <c r="A2161" s="335">
        <v>42347</v>
      </c>
      <c r="B2161">
        <v>108.195419</v>
      </c>
      <c r="C2161" s="334">
        <f t="shared" si="33"/>
        <v>-6.8028075770715105E-3</v>
      </c>
    </row>
    <row r="2162" spans="1:3" x14ac:dyDescent="0.3">
      <c r="A2162" s="335">
        <v>42348</v>
      </c>
      <c r="B2162">
        <v>107.824898</v>
      </c>
      <c r="C2162" s="334">
        <f t="shared" si="33"/>
        <v>-3.4245534924172392E-3</v>
      </c>
    </row>
    <row r="2163" spans="1:3" x14ac:dyDescent="0.3">
      <c r="A2163" s="335">
        <v>42349</v>
      </c>
      <c r="B2163">
        <v>104.860657</v>
      </c>
      <c r="C2163" s="334">
        <f t="shared" si="33"/>
        <v>-2.7491247893413274E-2</v>
      </c>
    </row>
    <row r="2164" spans="1:3" x14ac:dyDescent="0.3">
      <c r="A2164" s="335">
        <v>42352</v>
      </c>
      <c r="B2164">
        <v>101.896378</v>
      </c>
      <c r="C2164" s="334">
        <f t="shared" si="33"/>
        <v>-2.8268743347659976E-2</v>
      </c>
    </row>
    <row r="2165" spans="1:3" x14ac:dyDescent="0.3">
      <c r="A2165" s="335">
        <v>42353</v>
      </c>
      <c r="B2165">
        <v>106.713303</v>
      </c>
      <c r="C2165" s="334">
        <f t="shared" si="33"/>
        <v>4.7272779411256384E-2</v>
      </c>
    </row>
    <row r="2166" spans="1:3" x14ac:dyDescent="0.3">
      <c r="A2166" s="335">
        <v>42354</v>
      </c>
      <c r="B2166">
        <v>107.454369</v>
      </c>
      <c r="C2166" s="334">
        <f t="shared" si="33"/>
        <v>6.9444575246631023E-3</v>
      </c>
    </row>
    <row r="2167" spans="1:3" x14ac:dyDescent="0.3">
      <c r="A2167" s="335">
        <v>42355</v>
      </c>
      <c r="B2167">
        <v>108.936493</v>
      </c>
      <c r="C2167" s="334">
        <f t="shared" si="33"/>
        <v>1.3793054798916541E-2</v>
      </c>
    </row>
    <row r="2168" spans="1:3" x14ac:dyDescent="0.3">
      <c r="A2168" s="335">
        <v>42356</v>
      </c>
      <c r="B2168">
        <v>108.195419</v>
      </c>
      <c r="C2168" s="334">
        <f t="shared" si="33"/>
        <v>-6.8028075770715105E-3</v>
      </c>
    </row>
    <row r="2169" spans="1:3" x14ac:dyDescent="0.3">
      <c r="A2169" s="335">
        <v>42359</v>
      </c>
      <c r="B2169">
        <v>109.677567</v>
      </c>
      <c r="C2169" s="334">
        <f t="shared" si="33"/>
        <v>1.3698805491940422E-2</v>
      </c>
    </row>
    <row r="2170" spans="1:3" x14ac:dyDescent="0.3">
      <c r="A2170" s="335">
        <v>42360</v>
      </c>
      <c r="B2170">
        <v>109.30703</v>
      </c>
      <c r="C2170" s="334">
        <f t="shared" si="33"/>
        <v>-3.3784210402843708E-3</v>
      </c>
    </row>
    <row r="2171" spans="1:3" x14ac:dyDescent="0.3">
      <c r="A2171" s="335">
        <v>42361</v>
      </c>
      <c r="B2171">
        <v>110.41862500000001</v>
      </c>
      <c r="C2171" s="334">
        <f t="shared" si="33"/>
        <v>1.0169474003639184E-2</v>
      </c>
    </row>
    <row r="2172" spans="1:3" x14ac:dyDescent="0.3">
      <c r="A2172" s="335">
        <v>42366</v>
      </c>
      <c r="B2172">
        <v>111.53022</v>
      </c>
      <c r="C2172" s="334">
        <f t="shared" si="33"/>
        <v>1.0067096923186591E-2</v>
      </c>
    </row>
    <row r="2173" spans="1:3" x14ac:dyDescent="0.3">
      <c r="A2173" s="335">
        <v>42367</v>
      </c>
      <c r="B2173">
        <v>112.641823</v>
      </c>
      <c r="C2173" s="334">
        <f t="shared" si="33"/>
        <v>9.9668323078713761E-3</v>
      </c>
    </row>
    <row r="2174" spans="1:3" x14ac:dyDescent="0.3">
      <c r="A2174" s="335">
        <v>42368</v>
      </c>
      <c r="B2174">
        <v>114.865021</v>
      </c>
      <c r="C2174" s="334">
        <f t="shared" si="33"/>
        <v>1.9736878725764198E-2</v>
      </c>
    </row>
    <row r="2175" spans="1:3" x14ac:dyDescent="0.3">
      <c r="A2175" s="335">
        <v>42373</v>
      </c>
      <c r="B2175">
        <v>112.641823</v>
      </c>
      <c r="C2175" s="334">
        <f t="shared" si="33"/>
        <v>-1.9354873926327811E-2</v>
      </c>
    </row>
    <row r="2176" spans="1:3" x14ac:dyDescent="0.3">
      <c r="A2176" s="335">
        <v>42374</v>
      </c>
      <c r="B2176">
        <v>112.271294</v>
      </c>
      <c r="C2176" s="334">
        <f t="shared" si="33"/>
        <v>-3.2894442768384951E-3</v>
      </c>
    </row>
    <row r="2177" spans="1:3" x14ac:dyDescent="0.3">
      <c r="A2177" s="335">
        <v>42375</v>
      </c>
      <c r="B2177">
        <v>113.382881</v>
      </c>
      <c r="C2177" s="334">
        <f t="shared" si="33"/>
        <v>9.900901293611172E-3</v>
      </c>
    </row>
    <row r="2178" spans="1:3" x14ac:dyDescent="0.3">
      <c r="A2178" s="335">
        <v>42376</v>
      </c>
      <c r="B2178">
        <v>110.789154</v>
      </c>
      <c r="C2178" s="334">
        <f t="shared" si="33"/>
        <v>-2.2875825496090553E-2</v>
      </c>
    </row>
    <row r="2179" spans="1:3" x14ac:dyDescent="0.3">
      <c r="A2179" s="335">
        <v>42377</v>
      </c>
      <c r="B2179">
        <v>110.789154</v>
      </c>
      <c r="C2179" s="334">
        <f t="shared" si="33"/>
        <v>0</v>
      </c>
    </row>
    <row r="2180" spans="1:3" x14ac:dyDescent="0.3">
      <c r="A2180" s="335">
        <v>42380</v>
      </c>
      <c r="B2180">
        <v>114.865021</v>
      </c>
      <c r="C2180" s="334">
        <f t="shared" si="33"/>
        <v>3.6789404493512083E-2</v>
      </c>
    </row>
    <row r="2181" spans="1:3" x14ac:dyDescent="0.3">
      <c r="A2181" s="335">
        <v>42381</v>
      </c>
      <c r="B2181">
        <v>117.088219</v>
      </c>
      <c r="C2181" s="334">
        <f t="shared" si="33"/>
        <v>1.9354873926327811E-2</v>
      </c>
    </row>
    <row r="2182" spans="1:3" x14ac:dyDescent="0.3">
      <c r="A2182" s="335">
        <v>42382</v>
      </c>
      <c r="B2182">
        <v>123.757797</v>
      </c>
      <c r="C2182" s="334">
        <f t="shared" ref="C2182:C2245" si="34">(B2182-B2181)/B2181</f>
        <v>5.6961990343366666E-2</v>
      </c>
    </row>
    <row r="2183" spans="1:3" x14ac:dyDescent="0.3">
      <c r="A2183" s="335">
        <v>42383</v>
      </c>
      <c r="B2183">
        <v>122.646202</v>
      </c>
      <c r="C2183" s="334">
        <f t="shared" si="34"/>
        <v>-8.9820199368933033E-3</v>
      </c>
    </row>
    <row r="2184" spans="1:3" x14ac:dyDescent="0.3">
      <c r="A2184" s="335">
        <v>42384</v>
      </c>
      <c r="B2184">
        <v>123.38726</v>
      </c>
      <c r="C2184" s="334">
        <f t="shared" si="34"/>
        <v>6.0422417320350067E-3</v>
      </c>
    </row>
    <row r="2185" spans="1:3" x14ac:dyDescent="0.3">
      <c r="A2185" s="335">
        <v>42387</v>
      </c>
      <c r="B2185">
        <v>119.311401</v>
      </c>
      <c r="C2185" s="334">
        <f t="shared" si="34"/>
        <v>-3.3033061922276209E-2</v>
      </c>
    </row>
    <row r="2186" spans="1:3" x14ac:dyDescent="0.3">
      <c r="A2186" s="335">
        <v>42388</v>
      </c>
      <c r="B2186">
        <v>125.23992200000001</v>
      </c>
      <c r="C2186" s="334">
        <f t="shared" si="34"/>
        <v>4.9689476029201964E-2</v>
      </c>
    </row>
    <row r="2187" spans="1:3" x14ac:dyDescent="0.3">
      <c r="A2187" s="335">
        <v>42389</v>
      </c>
      <c r="B2187">
        <v>121.534576</v>
      </c>
      <c r="C2187" s="334">
        <f t="shared" si="34"/>
        <v>-2.95859813774078E-2</v>
      </c>
    </row>
    <row r="2188" spans="1:3" x14ac:dyDescent="0.3">
      <c r="A2188" s="335">
        <v>42390</v>
      </c>
      <c r="B2188">
        <v>120.05246699999999</v>
      </c>
      <c r="C2188" s="334">
        <f t="shared" si="34"/>
        <v>-1.2194957589682202E-2</v>
      </c>
    </row>
    <row r="2189" spans="1:3" x14ac:dyDescent="0.3">
      <c r="A2189" s="335">
        <v>42391</v>
      </c>
      <c r="B2189">
        <v>122.27565</v>
      </c>
      <c r="C2189" s="334">
        <f t="shared" si="34"/>
        <v>1.8518428280195242E-2</v>
      </c>
    </row>
    <row r="2190" spans="1:3" x14ac:dyDescent="0.3">
      <c r="A2190" s="335">
        <v>42394</v>
      </c>
      <c r="B2190">
        <v>129.31578099999999</v>
      </c>
      <c r="C2190" s="334">
        <f t="shared" si="34"/>
        <v>5.7575903297181312E-2</v>
      </c>
    </row>
    <row r="2191" spans="1:3" x14ac:dyDescent="0.3">
      <c r="A2191" s="335">
        <v>42395</v>
      </c>
      <c r="B2191">
        <v>121.16407</v>
      </c>
      <c r="C2191" s="334">
        <f t="shared" si="34"/>
        <v>-6.3037248330890042E-2</v>
      </c>
    </row>
    <row r="2192" spans="1:3" x14ac:dyDescent="0.3">
      <c r="A2192" s="335">
        <v>42396</v>
      </c>
      <c r="B2192">
        <v>121.534576</v>
      </c>
      <c r="C2192" s="334">
        <f t="shared" si="34"/>
        <v>3.057886715096365E-3</v>
      </c>
    </row>
    <row r="2193" spans="1:3" x14ac:dyDescent="0.3">
      <c r="A2193" s="335">
        <v>42397</v>
      </c>
      <c r="B2193">
        <v>121.905128</v>
      </c>
      <c r="C2193" s="334">
        <f t="shared" si="34"/>
        <v>3.0489430431715459E-3</v>
      </c>
    </row>
    <row r="2194" spans="1:3" x14ac:dyDescent="0.3">
      <c r="A2194" s="335">
        <v>42398</v>
      </c>
      <c r="B2194">
        <v>126.35153200000001</v>
      </c>
      <c r="C2194" s="334">
        <f t="shared" si="34"/>
        <v>3.6474298275622999E-2</v>
      </c>
    </row>
    <row r="2195" spans="1:3" x14ac:dyDescent="0.3">
      <c r="A2195" s="335">
        <v>42401</v>
      </c>
      <c r="B2195">
        <v>126.35153200000001</v>
      </c>
      <c r="C2195" s="334">
        <f t="shared" si="34"/>
        <v>0</v>
      </c>
    </row>
    <row r="2196" spans="1:3" x14ac:dyDescent="0.3">
      <c r="A2196" s="335">
        <v>42402</v>
      </c>
      <c r="B2196">
        <v>125.23992200000001</v>
      </c>
      <c r="C2196" s="334">
        <f t="shared" si="34"/>
        <v>-8.7977564055178922E-3</v>
      </c>
    </row>
    <row r="2197" spans="1:3" x14ac:dyDescent="0.3">
      <c r="A2197" s="335">
        <v>42403</v>
      </c>
      <c r="B2197">
        <v>122.646202</v>
      </c>
      <c r="C2197" s="334">
        <f t="shared" si="34"/>
        <v>-2.0710009704413619E-2</v>
      </c>
    </row>
    <row r="2198" spans="1:3" x14ac:dyDescent="0.3">
      <c r="A2198" s="335">
        <v>42404</v>
      </c>
      <c r="B2198">
        <v>120.422989</v>
      </c>
      <c r="C2198" s="334">
        <f t="shared" si="34"/>
        <v>-1.8127043183938148E-2</v>
      </c>
    </row>
    <row r="2199" spans="1:3" x14ac:dyDescent="0.3">
      <c r="A2199" s="335">
        <v>42405</v>
      </c>
      <c r="B2199">
        <v>120.422989</v>
      </c>
      <c r="C2199" s="334">
        <f t="shared" si="34"/>
        <v>0</v>
      </c>
    </row>
    <row r="2200" spans="1:3" x14ac:dyDescent="0.3">
      <c r="A2200" s="335">
        <v>42408</v>
      </c>
      <c r="B2200">
        <v>114.123947</v>
      </c>
      <c r="C2200" s="334">
        <f t="shared" si="34"/>
        <v>-5.2307637040964E-2</v>
      </c>
    </row>
    <row r="2201" spans="1:3" x14ac:dyDescent="0.3">
      <c r="A2201" s="335">
        <v>42409</v>
      </c>
      <c r="B2201">
        <v>115.60607899999999</v>
      </c>
      <c r="C2201" s="334">
        <f t="shared" si="34"/>
        <v>1.2987037681057358E-2</v>
      </c>
    </row>
    <row r="2202" spans="1:3" x14ac:dyDescent="0.3">
      <c r="A2202" s="335">
        <v>42410</v>
      </c>
      <c r="B2202">
        <v>119.681915</v>
      </c>
      <c r="C2202" s="334">
        <f t="shared" si="34"/>
        <v>3.5256242883213863E-2</v>
      </c>
    </row>
    <row r="2203" spans="1:3" x14ac:dyDescent="0.3">
      <c r="A2203" s="335">
        <v>42411</v>
      </c>
      <c r="B2203">
        <v>117.088219</v>
      </c>
      <c r="C2203" s="334">
        <f t="shared" si="34"/>
        <v>-2.167157836670652E-2</v>
      </c>
    </row>
    <row r="2204" spans="1:3" x14ac:dyDescent="0.3">
      <c r="A2204" s="335">
        <v>42412</v>
      </c>
      <c r="B2204">
        <v>118.199791</v>
      </c>
      <c r="C2204" s="334">
        <f t="shared" si="34"/>
        <v>9.4934572367183206E-3</v>
      </c>
    </row>
    <row r="2205" spans="1:3" x14ac:dyDescent="0.3">
      <c r="A2205" s="335">
        <v>42415</v>
      </c>
      <c r="B2205">
        <v>122.27565</v>
      </c>
      <c r="C2205" s="334">
        <f t="shared" si="34"/>
        <v>3.4482793628628279E-2</v>
      </c>
    </row>
    <row r="2206" spans="1:3" x14ac:dyDescent="0.3">
      <c r="A2206" s="335">
        <v>42416</v>
      </c>
      <c r="B2206">
        <v>119.681915</v>
      </c>
      <c r="C2206" s="334">
        <f t="shared" si="34"/>
        <v>-2.1212195559786394E-2</v>
      </c>
    </row>
    <row r="2207" spans="1:3" x14ac:dyDescent="0.3">
      <c r="A2207" s="335">
        <v>42417</v>
      </c>
      <c r="B2207">
        <v>120.793533</v>
      </c>
      <c r="C2207" s="334">
        <f t="shared" si="34"/>
        <v>9.2881033863804145E-3</v>
      </c>
    </row>
    <row r="2208" spans="1:3" x14ac:dyDescent="0.3">
      <c r="A2208" s="335">
        <v>42418</v>
      </c>
      <c r="B2208">
        <v>121.534576</v>
      </c>
      <c r="C2208" s="334">
        <f t="shared" si="34"/>
        <v>6.1347903451089954E-3</v>
      </c>
    </row>
    <row r="2209" spans="1:3" x14ac:dyDescent="0.3">
      <c r="A2209" s="335">
        <v>42419</v>
      </c>
      <c r="B2209">
        <v>127.83363300000001</v>
      </c>
      <c r="C2209" s="334">
        <f t="shared" si="34"/>
        <v>5.1829341141569493E-2</v>
      </c>
    </row>
    <row r="2210" spans="1:3" x14ac:dyDescent="0.3">
      <c r="A2210" s="335">
        <v>42422</v>
      </c>
      <c r="B2210">
        <v>133.02110300000001</v>
      </c>
      <c r="C2210" s="334">
        <f t="shared" si="34"/>
        <v>4.0579852721544761E-2</v>
      </c>
    </row>
    <row r="2211" spans="1:3" x14ac:dyDescent="0.3">
      <c r="A2211" s="335">
        <v>42423</v>
      </c>
      <c r="B2211">
        <v>132.280045</v>
      </c>
      <c r="C2211" s="334">
        <f t="shared" si="34"/>
        <v>-5.5709807187511408E-3</v>
      </c>
    </row>
    <row r="2212" spans="1:3" x14ac:dyDescent="0.3">
      <c r="A2212" s="335">
        <v>42424</v>
      </c>
      <c r="B2212">
        <v>132.280045</v>
      </c>
      <c r="C2212" s="334">
        <f t="shared" si="34"/>
        <v>0</v>
      </c>
    </row>
    <row r="2213" spans="1:3" x14ac:dyDescent="0.3">
      <c r="A2213" s="335">
        <v>42425</v>
      </c>
      <c r="B2213">
        <v>136.35588100000001</v>
      </c>
      <c r="C2213" s="334">
        <f t="shared" si="34"/>
        <v>3.0812175789628811E-2</v>
      </c>
    </row>
    <row r="2214" spans="1:3" x14ac:dyDescent="0.3">
      <c r="A2214" s="335">
        <v>42426</v>
      </c>
      <c r="B2214">
        <v>135.24430799999999</v>
      </c>
      <c r="C2214" s="334">
        <f t="shared" si="34"/>
        <v>-8.1519989592529658E-3</v>
      </c>
    </row>
    <row r="2215" spans="1:3" x14ac:dyDescent="0.3">
      <c r="A2215" s="335">
        <v>42429</v>
      </c>
      <c r="B2215">
        <v>133.39163199999999</v>
      </c>
      <c r="C2215" s="334">
        <f t="shared" si="34"/>
        <v>-1.3698735476542219E-2</v>
      </c>
    </row>
    <row r="2216" spans="1:3" x14ac:dyDescent="0.3">
      <c r="A2216" s="335">
        <v>42430</v>
      </c>
      <c r="B2216">
        <v>136.35588100000001</v>
      </c>
      <c r="C2216" s="334">
        <f t="shared" si="34"/>
        <v>2.222215108665905E-2</v>
      </c>
    </row>
    <row r="2217" spans="1:3" x14ac:dyDescent="0.3">
      <c r="A2217" s="335">
        <v>42431</v>
      </c>
      <c r="B2217">
        <v>133.02110300000001</v>
      </c>
      <c r="C2217" s="334">
        <f t="shared" si="34"/>
        <v>-2.4456429569033402E-2</v>
      </c>
    </row>
    <row r="2218" spans="1:3" x14ac:dyDescent="0.3">
      <c r="A2218" s="335">
        <v>42432</v>
      </c>
      <c r="B2218">
        <v>132.280045</v>
      </c>
      <c r="C2218" s="334">
        <f t="shared" si="34"/>
        <v>-5.5709807187511408E-3</v>
      </c>
    </row>
    <row r="2219" spans="1:3" x14ac:dyDescent="0.3">
      <c r="A2219" s="335">
        <v>42433</v>
      </c>
      <c r="B2219">
        <v>139.69065900000001</v>
      </c>
      <c r="C2219" s="334">
        <f t="shared" si="34"/>
        <v>5.6022161165729945E-2</v>
      </c>
    </row>
    <row r="2220" spans="1:3" x14ac:dyDescent="0.3">
      <c r="A2220" s="335">
        <v>42436</v>
      </c>
      <c r="B2220">
        <v>137.09695400000001</v>
      </c>
      <c r="C2220" s="334">
        <f t="shared" si="34"/>
        <v>-1.8567490615102617E-2</v>
      </c>
    </row>
    <row r="2221" spans="1:3" x14ac:dyDescent="0.3">
      <c r="A2221" s="335">
        <v>42437</v>
      </c>
      <c r="B2221">
        <v>138.20855700000001</v>
      </c>
      <c r="C2221" s="334">
        <f t="shared" si="34"/>
        <v>8.1081524247431664E-3</v>
      </c>
    </row>
    <row r="2222" spans="1:3" x14ac:dyDescent="0.3">
      <c r="A2222" s="335">
        <v>42438</v>
      </c>
      <c r="B2222">
        <v>139.69065900000001</v>
      </c>
      <c r="C2222" s="334">
        <f t="shared" si="34"/>
        <v>1.0723663079703506E-2</v>
      </c>
    </row>
    <row r="2223" spans="1:3" x14ac:dyDescent="0.3">
      <c r="A2223" s="335">
        <v>42439</v>
      </c>
      <c r="B2223">
        <v>142.65495300000001</v>
      </c>
      <c r="C2223" s="334">
        <f t="shared" si="34"/>
        <v>2.1220416749555139E-2</v>
      </c>
    </row>
    <row r="2224" spans="1:3" x14ac:dyDescent="0.3">
      <c r="A2224" s="335">
        <v>42440</v>
      </c>
      <c r="B2224">
        <v>144.87811300000001</v>
      </c>
      <c r="C2224" s="334">
        <f t="shared" si="34"/>
        <v>1.5584176737277444E-2</v>
      </c>
    </row>
    <row r="2225" spans="1:3" x14ac:dyDescent="0.3">
      <c r="A2225" s="335">
        <v>42443</v>
      </c>
      <c r="B2225">
        <v>145.98971599999999</v>
      </c>
      <c r="C2225" s="334">
        <f t="shared" si="34"/>
        <v>7.6726772386935616E-3</v>
      </c>
    </row>
    <row r="2226" spans="1:3" x14ac:dyDescent="0.3">
      <c r="A2226" s="335">
        <v>42444</v>
      </c>
      <c r="B2226">
        <v>145.61918600000001</v>
      </c>
      <c r="C2226" s="334">
        <f t="shared" si="34"/>
        <v>-2.5380554887850719E-3</v>
      </c>
    </row>
    <row r="2227" spans="1:3" x14ac:dyDescent="0.3">
      <c r="A2227" s="335">
        <v>42445</v>
      </c>
      <c r="B2227">
        <v>146.36024499999999</v>
      </c>
      <c r="C2227" s="334">
        <f t="shared" si="34"/>
        <v>5.0890203437888911E-3</v>
      </c>
    </row>
    <row r="2228" spans="1:3" x14ac:dyDescent="0.3">
      <c r="A2228" s="335">
        <v>42446</v>
      </c>
      <c r="B2228">
        <v>144.13705400000001</v>
      </c>
      <c r="C2228" s="334">
        <f t="shared" si="34"/>
        <v>-1.5189855687929368E-2</v>
      </c>
    </row>
    <row r="2229" spans="1:3" x14ac:dyDescent="0.3">
      <c r="A2229" s="335">
        <v>42447</v>
      </c>
      <c r="B2229">
        <v>147.10131799999999</v>
      </c>
      <c r="C2229" s="334">
        <f t="shared" si="34"/>
        <v>2.0565593077821513E-2</v>
      </c>
    </row>
    <row r="2230" spans="1:3" x14ac:dyDescent="0.3">
      <c r="A2230" s="335">
        <v>42450</v>
      </c>
      <c r="B2230">
        <v>147.10131799999999</v>
      </c>
      <c r="C2230" s="334">
        <f t="shared" si="34"/>
        <v>0</v>
      </c>
    </row>
    <row r="2231" spans="1:3" x14ac:dyDescent="0.3">
      <c r="A2231" s="335">
        <v>42451</v>
      </c>
      <c r="B2231">
        <v>148.953979</v>
      </c>
      <c r="C2231" s="334">
        <f t="shared" si="34"/>
        <v>1.2594455475919067E-2</v>
      </c>
    </row>
    <row r="2232" spans="1:3" x14ac:dyDescent="0.3">
      <c r="A2232" s="335">
        <v>42452</v>
      </c>
      <c r="B2232">
        <v>151.17716999999999</v>
      </c>
      <c r="C2232" s="334">
        <f t="shared" si="34"/>
        <v>1.4925354897702905E-2</v>
      </c>
    </row>
    <row r="2233" spans="1:3" x14ac:dyDescent="0.3">
      <c r="A2233" s="335">
        <v>42458</v>
      </c>
      <c r="B2233">
        <v>152.28878800000001</v>
      </c>
      <c r="C2233" s="334">
        <f t="shared" si="34"/>
        <v>7.3530811563678657E-3</v>
      </c>
    </row>
    <row r="2234" spans="1:3" x14ac:dyDescent="0.3">
      <c r="A2234" s="335">
        <v>42459</v>
      </c>
      <c r="B2234">
        <v>153.02984599999999</v>
      </c>
      <c r="C2234" s="334">
        <f t="shared" si="34"/>
        <v>4.8661363041380369E-3</v>
      </c>
    </row>
    <row r="2235" spans="1:3" x14ac:dyDescent="0.3">
      <c r="A2235" s="335">
        <v>42460</v>
      </c>
      <c r="B2235">
        <v>150.43611100000001</v>
      </c>
      <c r="C2235" s="334">
        <f t="shared" si="34"/>
        <v>-1.694921002534356E-2</v>
      </c>
    </row>
    <row r="2236" spans="1:3" x14ac:dyDescent="0.3">
      <c r="A2236" s="335">
        <v>42461</v>
      </c>
      <c r="B2236">
        <v>149.32453899999999</v>
      </c>
      <c r="C2236" s="334">
        <f t="shared" si="34"/>
        <v>-7.3889971803380618E-3</v>
      </c>
    </row>
    <row r="2237" spans="1:3" x14ac:dyDescent="0.3">
      <c r="A2237" s="335">
        <v>42464</v>
      </c>
      <c r="B2237">
        <v>151.54771400000001</v>
      </c>
      <c r="C2237" s="334">
        <f t="shared" si="34"/>
        <v>1.488820936524054E-2</v>
      </c>
    </row>
    <row r="2238" spans="1:3" x14ac:dyDescent="0.3">
      <c r="A2238" s="335">
        <v>42465</v>
      </c>
      <c r="B2238">
        <v>154.141434</v>
      </c>
      <c r="C2238" s="334">
        <f t="shared" si="34"/>
        <v>1.7114873801395581E-2</v>
      </c>
    </row>
    <row r="2239" spans="1:3" x14ac:dyDescent="0.3">
      <c r="A2239" s="335">
        <v>42466</v>
      </c>
      <c r="B2239">
        <v>156.36462399999999</v>
      </c>
      <c r="C2239" s="334">
        <f t="shared" si="34"/>
        <v>1.4423052532390403E-2</v>
      </c>
    </row>
    <row r="2240" spans="1:3" x14ac:dyDescent="0.3">
      <c r="A2240" s="335">
        <v>42467</v>
      </c>
      <c r="B2240">
        <v>152.65931699999999</v>
      </c>
      <c r="C2240" s="334">
        <f t="shared" si="34"/>
        <v>-2.3696581139734042E-2</v>
      </c>
    </row>
    <row r="2241" spans="1:3" x14ac:dyDescent="0.3">
      <c r="A2241" s="335">
        <v>42468</v>
      </c>
      <c r="B2241">
        <v>153.40036000000001</v>
      </c>
      <c r="C2241" s="334">
        <f t="shared" si="34"/>
        <v>4.8542271416032803E-3</v>
      </c>
    </row>
    <row r="2242" spans="1:3" x14ac:dyDescent="0.3">
      <c r="A2242" s="335">
        <v>42471</v>
      </c>
      <c r="B2242">
        <v>151.17716999999999</v>
      </c>
      <c r="C2242" s="334">
        <f t="shared" si="34"/>
        <v>-1.4492730004023567E-2</v>
      </c>
    </row>
    <row r="2243" spans="1:3" x14ac:dyDescent="0.3">
      <c r="A2243" s="335">
        <v>42472</v>
      </c>
      <c r="B2243">
        <v>152.28878800000001</v>
      </c>
      <c r="C2243" s="334">
        <f t="shared" si="34"/>
        <v>7.3530811563678657E-3</v>
      </c>
    </row>
    <row r="2244" spans="1:3" x14ac:dyDescent="0.3">
      <c r="A2244" s="335">
        <v>42473</v>
      </c>
      <c r="B2244">
        <v>153.40036000000001</v>
      </c>
      <c r="C2244" s="334">
        <f t="shared" si="34"/>
        <v>7.2991059591333493E-3</v>
      </c>
    </row>
    <row r="2245" spans="1:3" x14ac:dyDescent="0.3">
      <c r="A2245" s="335">
        <v>42474</v>
      </c>
      <c r="B2245">
        <v>153.02984599999999</v>
      </c>
      <c r="C2245" s="334">
        <f t="shared" si="34"/>
        <v>-2.4153398336223867E-3</v>
      </c>
    </row>
    <row r="2246" spans="1:3" x14ac:dyDescent="0.3">
      <c r="A2246" s="335">
        <v>42475</v>
      </c>
      <c r="B2246">
        <v>151.54771400000001</v>
      </c>
      <c r="C2246" s="334">
        <f t="shared" ref="C2246:C2309" si="35">(B2246-B2245)/B2245</f>
        <v>-9.6852479352294366E-3</v>
      </c>
    </row>
    <row r="2247" spans="1:3" x14ac:dyDescent="0.3">
      <c r="A2247" s="335">
        <v>42478</v>
      </c>
      <c r="B2247">
        <v>150.43611100000001</v>
      </c>
      <c r="C2247" s="334">
        <f t="shared" si="35"/>
        <v>-7.3350034168116994E-3</v>
      </c>
    </row>
    <row r="2248" spans="1:3" x14ac:dyDescent="0.3">
      <c r="A2248" s="335">
        <v>42479</v>
      </c>
      <c r="B2248">
        <v>151.91824299999999</v>
      </c>
      <c r="C2248" s="334">
        <f t="shared" si="35"/>
        <v>9.8522355446956384E-3</v>
      </c>
    </row>
    <row r="2249" spans="1:3" x14ac:dyDescent="0.3">
      <c r="A2249" s="335">
        <v>42480</v>
      </c>
      <c r="B2249">
        <v>151.17716999999999</v>
      </c>
      <c r="C2249" s="334">
        <f t="shared" si="35"/>
        <v>-4.8781040733863685E-3</v>
      </c>
    </row>
    <row r="2250" spans="1:3" x14ac:dyDescent="0.3">
      <c r="A2250" s="335">
        <v>42481</v>
      </c>
      <c r="B2250">
        <v>139.32012900000001</v>
      </c>
      <c r="C2250" s="334">
        <f t="shared" si="35"/>
        <v>-7.8431425856165859E-2</v>
      </c>
    </row>
    <row r="2251" spans="1:3" x14ac:dyDescent="0.3">
      <c r="A2251" s="335">
        <v>42482</v>
      </c>
      <c r="B2251">
        <v>141.17279099999999</v>
      </c>
      <c r="C2251" s="334">
        <f t="shared" si="35"/>
        <v>1.3297877437365714E-2</v>
      </c>
    </row>
    <row r="2252" spans="1:3" x14ac:dyDescent="0.3">
      <c r="A2252" s="335">
        <v>42485</v>
      </c>
      <c r="B2252">
        <v>140.80226099999999</v>
      </c>
      <c r="C2252" s="334">
        <f t="shared" si="35"/>
        <v>-2.6246559083754478E-3</v>
      </c>
    </row>
    <row r="2253" spans="1:3" x14ac:dyDescent="0.3">
      <c r="A2253" s="335">
        <v>42486</v>
      </c>
      <c r="B2253">
        <v>142.284424</v>
      </c>
      <c r="C2253" s="334">
        <f t="shared" si="35"/>
        <v>1.0526556814311486E-2</v>
      </c>
    </row>
    <row r="2254" spans="1:3" x14ac:dyDescent="0.3">
      <c r="A2254" s="335">
        <v>42487</v>
      </c>
      <c r="B2254">
        <v>147.842377</v>
      </c>
      <c r="C2254" s="334">
        <f t="shared" si="35"/>
        <v>3.9062272902057063E-2</v>
      </c>
    </row>
    <row r="2255" spans="1:3" x14ac:dyDescent="0.3">
      <c r="A2255" s="335">
        <v>42488</v>
      </c>
      <c r="B2255">
        <v>147.47186300000001</v>
      </c>
      <c r="C2255" s="334">
        <f t="shared" si="35"/>
        <v>-2.5061420650723562E-3</v>
      </c>
    </row>
    <row r="2256" spans="1:3" x14ac:dyDescent="0.3">
      <c r="A2256" s="335">
        <v>42489</v>
      </c>
      <c r="B2256">
        <v>148.21292099999999</v>
      </c>
      <c r="C2256" s="334">
        <f t="shared" si="35"/>
        <v>5.0250806148694352E-3</v>
      </c>
    </row>
    <row r="2257" spans="1:3" x14ac:dyDescent="0.3">
      <c r="A2257" s="335">
        <v>42492</v>
      </c>
      <c r="B2257">
        <v>147.842377</v>
      </c>
      <c r="C2257" s="334">
        <f t="shared" si="35"/>
        <v>-2.5000789236182407E-3</v>
      </c>
    </row>
    <row r="2258" spans="1:3" x14ac:dyDescent="0.3">
      <c r="A2258" s="335">
        <v>42493</v>
      </c>
      <c r="B2258">
        <v>147.10131799999999</v>
      </c>
      <c r="C2258" s="334">
        <f t="shared" si="35"/>
        <v>-5.0124938129208181E-3</v>
      </c>
    </row>
    <row r="2259" spans="1:3" x14ac:dyDescent="0.3">
      <c r="A2259" s="335">
        <v>42494</v>
      </c>
      <c r="B2259">
        <v>150.43611100000001</v>
      </c>
      <c r="C2259" s="334">
        <f t="shared" si="35"/>
        <v>2.2670041610368299E-2</v>
      </c>
    </row>
    <row r="2260" spans="1:3" x14ac:dyDescent="0.3">
      <c r="A2260" s="335">
        <v>42496</v>
      </c>
      <c r="B2260">
        <v>152.65931699999999</v>
      </c>
      <c r="C2260" s="334">
        <f t="shared" si="35"/>
        <v>1.4778406495764678E-2</v>
      </c>
    </row>
    <row r="2261" spans="1:3" x14ac:dyDescent="0.3">
      <c r="A2261" s="335">
        <v>42499</v>
      </c>
      <c r="B2261">
        <v>155.623581</v>
      </c>
      <c r="C2261" s="334">
        <f t="shared" si="35"/>
        <v>1.9417511215512738E-2</v>
      </c>
    </row>
    <row r="2262" spans="1:3" x14ac:dyDescent="0.3">
      <c r="A2262" s="335">
        <v>42500</v>
      </c>
      <c r="B2262">
        <v>151.91824299999999</v>
      </c>
      <c r="C2262" s="334">
        <f t="shared" si="35"/>
        <v>-2.3809617901030127E-2</v>
      </c>
    </row>
    <row r="2263" spans="1:3" x14ac:dyDescent="0.3">
      <c r="A2263" s="335">
        <v>42501</v>
      </c>
      <c r="B2263">
        <v>161.55209400000001</v>
      </c>
      <c r="C2263" s="334">
        <f t="shared" si="35"/>
        <v>6.3414707870206352E-2</v>
      </c>
    </row>
    <row r="2264" spans="1:3" x14ac:dyDescent="0.3">
      <c r="A2264" s="335">
        <v>42502</v>
      </c>
      <c r="B2264">
        <v>164.14582799999999</v>
      </c>
      <c r="C2264" s="334">
        <f t="shared" si="35"/>
        <v>1.6055093659138726E-2</v>
      </c>
    </row>
    <row r="2265" spans="1:3" x14ac:dyDescent="0.3">
      <c r="A2265" s="335">
        <v>42503</v>
      </c>
      <c r="B2265">
        <v>168.22167999999999</v>
      </c>
      <c r="C2265" s="334">
        <f t="shared" si="35"/>
        <v>2.4830676780892645E-2</v>
      </c>
    </row>
    <row r="2266" spans="1:3" x14ac:dyDescent="0.3">
      <c r="A2266" s="335">
        <v>42508</v>
      </c>
      <c r="B2266">
        <v>167.851135</v>
      </c>
      <c r="C2266" s="334">
        <f t="shared" si="35"/>
        <v>-2.2027184605455897E-3</v>
      </c>
    </row>
    <row r="2267" spans="1:3" x14ac:dyDescent="0.3">
      <c r="A2267" s="335">
        <v>42509</v>
      </c>
      <c r="B2267">
        <v>164.51632699999999</v>
      </c>
      <c r="C2267" s="334">
        <f t="shared" si="35"/>
        <v>-1.9867652369464226E-2</v>
      </c>
    </row>
    <row r="2268" spans="1:3" x14ac:dyDescent="0.3">
      <c r="A2268" s="335">
        <v>42510</v>
      </c>
      <c r="B2268">
        <v>168.22167999999999</v>
      </c>
      <c r="C2268" s="334">
        <f t="shared" si="35"/>
        <v>2.2522706819244769E-2</v>
      </c>
    </row>
    <row r="2269" spans="1:3" x14ac:dyDescent="0.3">
      <c r="A2269" s="335">
        <v>42513</v>
      </c>
      <c r="B2269">
        <v>170.44485499999999</v>
      </c>
      <c r="C2269" s="334">
        <f t="shared" si="35"/>
        <v>1.3215746032259324E-2</v>
      </c>
    </row>
    <row r="2270" spans="1:3" x14ac:dyDescent="0.3">
      <c r="A2270" s="335">
        <v>42514</v>
      </c>
      <c r="B2270">
        <v>171.926987</v>
      </c>
      <c r="C2270" s="334">
        <f t="shared" si="35"/>
        <v>8.6956687545658527E-3</v>
      </c>
    </row>
    <row r="2271" spans="1:3" x14ac:dyDescent="0.3">
      <c r="A2271" s="335">
        <v>42515</v>
      </c>
      <c r="B2271">
        <v>171.556442</v>
      </c>
      <c r="C2271" s="334">
        <f t="shared" si="35"/>
        <v>-2.1552462848662196E-3</v>
      </c>
    </row>
    <row r="2272" spans="1:3" x14ac:dyDescent="0.3">
      <c r="A2272" s="335">
        <v>42516</v>
      </c>
      <c r="B2272">
        <v>181.190292</v>
      </c>
      <c r="C2272" s="334">
        <f t="shared" si="35"/>
        <v>5.6155571237598852E-2</v>
      </c>
    </row>
    <row r="2273" spans="1:3" x14ac:dyDescent="0.3">
      <c r="A2273" s="335">
        <v>42517</v>
      </c>
      <c r="B2273">
        <v>177.855515</v>
      </c>
      <c r="C2273" s="334">
        <f t="shared" si="35"/>
        <v>-1.8404832638605179E-2</v>
      </c>
    </row>
    <row r="2274" spans="1:3" x14ac:dyDescent="0.3">
      <c r="A2274" s="335">
        <v>42520</v>
      </c>
      <c r="B2274">
        <v>185.26615899999999</v>
      </c>
      <c r="C2274" s="334">
        <f t="shared" si="35"/>
        <v>4.1666652844585622E-2</v>
      </c>
    </row>
    <row r="2275" spans="1:3" x14ac:dyDescent="0.3">
      <c r="A2275" s="335">
        <v>42521</v>
      </c>
      <c r="B2275">
        <v>186.00720200000001</v>
      </c>
      <c r="C2275" s="334">
        <f t="shared" si="35"/>
        <v>3.9998832166646204E-3</v>
      </c>
    </row>
    <row r="2276" spans="1:3" x14ac:dyDescent="0.3">
      <c r="A2276" s="335">
        <v>42522</v>
      </c>
      <c r="B2276">
        <v>188.23040800000001</v>
      </c>
      <c r="C2276" s="334">
        <f t="shared" si="35"/>
        <v>1.1952257633551224E-2</v>
      </c>
    </row>
    <row r="2277" spans="1:3" x14ac:dyDescent="0.3">
      <c r="A2277" s="335">
        <v>42523</v>
      </c>
      <c r="B2277">
        <v>191.93571499999999</v>
      </c>
      <c r="C2277" s="334">
        <f t="shared" si="35"/>
        <v>1.9684954409703963E-2</v>
      </c>
    </row>
    <row r="2278" spans="1:3" x14ac:dyDescent="0.3">
      <c r="A2278" s="335">
        <v>42524</v>
      </c>
      <c r="B2278">
        <v>189.71255500000001</v>
      </c>
      <c r="C2278" s="334">
        <f t="shared" si="35"/>
        <v>-1.158283647209681E-2</v>
      </c>
    </row>
    <row r="2279" spans="1:3" x14ac:dyDescent="0.3">
      <c r="A2279" s="335">
        <v>42527</v>
      </c>
      <c r="B2279">
        <v>190.45361299999999</v>
      </c>
      <c r="C2279" s="334">
        <f t="shared" si="35"/>
        <v>3.9062148522536165E-3</v>
      </c>
    </row>
    <row r="2280" spans="1:3" x14ac:dyDescent="0.3">
      <c r="A2280" s="335">
        <v>42528</v>
      </c>
      <c r="B2280">
        <v>188.23040800000001</v>
      </c>
      <c r="C2280" s="334">
        <f t="shared" si="35"/>
        <v>-1.1673209895996978E-2</v>
      </c>
    </row>
    <row r="2281" spans="1:3" x14ac:dyDescent="0.3">
      <c r="A2281" s="335">
        <v>42529</v>
      </c>
      <c r="B2281">
        <v>197.48764</v>
      </c>
      <c r="C2281" s="334">
        <f t="shared" si="35"/>
        <v>4.9180321598197817E-2</v>
      </c>
    </row>
    <row r="2282" spans="1:3" x14ac:dyDescent="0.3">
      <c r="A2282" s="335">
        <v>42530</v>
      </c>
      <c r="B2282">
        <v>192.47331199999999</v>
      </c>
      <c r="C2282" s="334">
        <f t="shared" si="35"/>
        <v>-2.5390591532715698E-2</v>
      </c>
    </row>
    <row r="2283" spans="1:3" x14ac:dyDescent="0.3">
      <c r="A2283" s="335">
        <v>42531</v>
      </c>
      <c r="B2283">
        <v>190.544724</v>
      </c>
      <c r="C2283" s="334">
        <f t="shared" si="35"/>
        <v>-1.0020028127328067E-2</v>
      </c>
    </row>
    <row r="2284" spans="1:3" x14ac:dyDescent="0.3">
      <c r="A2284" s="335">
        <v>42534</v>
      </c>
      <c r="B2284">
        <v>188.230423</v>
      </c>
      <c r="C2284" s="334">
        <f t="shared" si="35"/>
        <v>-1.2145710211320259E-2</v>
      </c>
    </row>
    <row r="2285" spans="1:3" x14ac:dyDescent="0.3">
      <c r="A2285" s="335">
        <v>42535</v>
      </c>
      <c r="B2285">
        <v>182.44464099999999</v>
      </c>
      <c r="C2285" s="334">
        <f t="shared" si="35"/>
        <v>-3.0737762301049559E-2</v>
      </c>
    </row>
    <row r="2286" spans="1:3" x14ac:dyDescent="0.3">
      <c r="A2286" s="335">
        <v>42536</v>
      </c>
      <c r="B2286">
        <v>190.15901199999999</v>
      </c>
      <c r="C2286" s="334">
        <f t="shared" si="35"/>
        <v>4.2283352132003703E-2</v>
      </c>
    </row>
    <row r="2287" spans="1:3" x14ac:dyDescent="0.3">
      <c r="A2287" s="335">
        <v>42537</v>
      </c>
      <c r="B2287">
        <v>181.287476</v>
      </c>
      <c r="C2287" s="334">
        <f t="shared" si="35"/>
        <v>-4.6653250386050553E-2</v>
      </c>
    </row>
    <row r="2288" spans="1:3" x14ac:dyDescent="0.3">
      <c r="A2288" s="335">
        <v>42538</v>
      </c>
      <c r="B2288">
        <v>182.83033800000001</v>
      </c>
      <c r="C2288" s="334">
        <f t="shared" si="35"/>
        <v>8.5105823857353161E-3</v>
      </c>
    </row>
    <row r="2289" spans="1:3" x14ac:dyDescent="0.3">
      <c r="A2289" s="335">
        <v>42541</v>
      </c>
      <c r="B2289">
        <v>190.15901199999999</v>
      </c>
      <c r="C2289" s="334">
        <f t="shared" si="35"/>
        <v>4.0084561895848914E-2</v>
      </c>
    </row>
    <row r="2290" spans="1:3" x14ac:dyDescent="0.3">
      <c r="A2290" s="335">
        <v>42542</v>
      </c>
      <c r="B2290">
        <v>194.40190100000001</v>
      </c>
      <c r="C2290" s="334">
        <f t="shared" si="35"/>
        <v>2.2312321437597812E-2</v>
      </c>
    </row>
    <row r="2291" spans="1:3" x14ac:dyDescent="0.3">
      <c r="A2291" s="335">
        <v>42543</v>
      </c>
      <c r="B2291">
        <v>192.08758499999999</v>
      </c>
      <c r="C2291" s="334">
        <f t="shared" si="35"/>
        <v>-1.19048012807242E-2</v>
      </c>
    </row>
    <row r="2292" spans="1:3" x14ac:dyDescent="0.3">
      <c r="A2292" s="335">
        <v>42544</v>
      </c>
      <c r="B2292">
        <v>192.396164</v>
      </c>
      <c r="C2292" s="334">
        <f t="shared" si="35"/>
        <v>1.6064494745977927E-3</v>
      </c>
    </row>
    <row r="2293" spans="1:3" x14ac:dyDescent="0.3">
      <c r="A2293" s="335">
        <v>42545</v>
      </c>
      <c r="B2293">
        <v>187.690414</v>
      </c>
      <c r="C2293" s="334">
        <f t="shared" si="35"/>
        <v>-2.4458647730627284E-2</v>
      </c>
    </row>
    <row r="2294" spans="1:3" x14ac:dyDescent="0.3">
      <c r="A2294" s="335">
        <v>42548</v>
      </c>
      <c r="B2294">
        <v>182.67605599999999</v>
      </c>
      <c r="C2294" s="334">
        <f t="shared" si="35"/>
        <v>-2.6716111351323544E-2</v>
      </c>
    </row>
    <row r="2295" spans="1:3" x14ac:dyDescent="0.3">
      <c r="A2295" s="335">
        <v>42549</v>
      </c>
      <c r="B2295">
        <v>193.32188400000001</v>
      </c>
      <c r="C2295" s="334">
        <f t="shared" si="35"/>
        <v>5.8277084764737988E-2</v>
      </c>
    </row>
    <row r="2296" spans="1:3" x14ac:dyDescent="0.3">
      <c r="A2296" s="335">
        <v>42550</v>
      </c>
      <c r="B2296">
        <v>196.71618699999999</v>
      </c>
      <c r="C2296" s="334">
        <f t="shared" si="35"/>
        <v>1.7557779438979498E-2</v>
      </c>
    </row>
    <row r="2297" spans="1:3" x14ac:dyDescent="0.3">
      <c r="A2297" s="335">
        <v>42551</v>
      </c>
      <c r="B2297">
        <v>190.62185700000001</v>
      </c>
      <c r="C2297" s="334">
        <f t="shared" si="35"/>
        <v>-3.0980317852541465E-2</v>
      </c>
    </row>
    <row r="2298" spans="1:3" x14ac:dyDescent="0.3">
      <c r="A2298" s="335">
        <v>42552</v>
      </c>
      <c r="B2298">
        <v>197.71906999999999</v>
      </c>
      <c r="C2298" s="334">
        <f t="shared" si="35"/>
        <v>3.723189518608027E-2</v>
      </c>
    </row>
    <row r="2299" spans="1:3" x14ac:dyDescent="0.3">
      <c r="A2299" s="335">
        <v>42555</v>
      </c>
      <c r="B2299">
        <v>192.85900899999999</v>
      </c>
      <c r="C2299" s="334">
        <f t="shared" si="35"/>
        <v>-2.4580638579778886E-2</v>
      </c>
    </row>
    <row r="2300" spans="1:3" x14ac:dyDescent="0.3">
      <c r="A2300" s="335">
        <v>42556</v>
      </c>
      <c r="B2300">
        <v>190.544724</v>
      </c>
      <c r="C2300" s="334">
        <f t="shared" si="35"/>
        <v>-1.1999880181900053E-2</v>
      </c>
    </row>
    <row r="2301" spans="1:3" x14ac:dyDescent="0.3">
      <c r="A2301" s="335">
        <v>42557</v>
      </c>
      <c r="B2301">
        <v>195.55905200000001</v>
      </c>
      <c r="C2301" s="334">
        <f t="shared" si="35"/>
        <v>2.6315753565551391E-2</v>
      </c>
    </row>
    <row r="2302" spans="1:3" x14ac:dyDescent="0.3">
      <c r="A2302" s="335">
        <v>42558</v>
      </c>
      <c r="B2302">
        <v>197.71906999999999</v>
      </c>
      <c r="C2302" s="334">
        <f t="shared" si="35"/>
        <v>1.10453491050876E-2</v>
      </c>
    </row>
    <row r="2303" spans="1:3" x14ac:dyDescent="0.3">
      <c r="A2303" s="335">
        <v>42559</v>
      </c>
      <c r="B2303">
        <v>200.57337999999999</v>
      </c>
      <c r="C2303" s="334">
        <f t="shared" si="35"/>
        <v>1.443618969075668E-2</v>
      </c>
    </row>
    <row r="2304" spans="1:3" x14ac:dyDescent="0.3">
      <c r="A2304" s="335">
        <v>42562</v>
      </c>
      <c r="B2304">
        <v>202.88769500000001</v>
      </c>
      <c r="C2304" s="334">
        <f t="shared" si="35"/>
        <v>1.1538495287859347E-2</v>
      </c>
    </row>
    <row r="2305" spans="1:3" x14ac:dyDescent="0.3">
      <c r="A2305" s="335">
        <v>42563</v>
      </c>
      <c r="B2305">
        <v>201.421967</v>
      </c>
      <c r="C2305" s="334">
        <f t="shared" si="35"/>
        <v>-7.2243316678225001E-3</v>
      </c>
    </row>
    <row r="2306" spans="1:3" x14ac:dyDescent="0.3">
      <c r="A2306" s="335">
        <v>42564</v>
      </c>
      <c r="B2306">
        <v>202.11625699999999</v>
      </c>
      <c r="C2306" s="334">
        <f t="shared" si="35"/>
        <v>3.4469428053991512E-3</v>
      </c>
    </row>
    <row r="2307" spans="1:3" x14ac:dyDescent="0.3">
      <c r="A2307" s="335">
        <v>42565</v>
      </c>
      <c r="B2307">
        <v>208.28774999999999</v>
      </c>
      <c r="C2307" s="334">
        <f t="shared" si="35"/>
        <v>3.0534372106445641E-2</v>
      </c>
    </row>
    <row r="2308" spans="1:3" x14ac:dyDescent="0.3">
      <c r="A2308" s="335">
        <v>42566</v>
      </c>
      <c r="B2308">
        <v>202.50198399999999</v>
      </c>
      <c r="C2308" s="334">
        <f t="shared" si="35"/>
        <v>-2.7777754572700486E-2</v>
      </c>
    </row>
    <row r="2309" spans="1:3" x14ac:dyDescent="0.3">
      <c r="A2309" s="335">
        <v>42569</v>
      </c>
      <c r="B2309">
        <v>202.81054700000001</v>
      </c>
      <c r="C2309" s="334">
        <f t="shared" si="35"/>
        <v>1.523752972217896E-3</v>
      </c>
    </row>
    <row r="2310" spans="1:3" x14ac:dyDescent="0.3">
      <c r="A2310" s="335">
        <v>42570</v>
      </c>
      <c r="B2310">
        <v>204.04484600000001</v>
      </c>
      <c r="C2310" s="334">
        <f t="shared" ref="C2310:C2373" si="36">(B2310-B2309)/B2309</f>
        <v>6.0859704697704547E-3</v>
      </c>
    </row>
    <row r="2311" spans="1:3" x14ac:dyDescent="0.3">
      <c r="A2311" s="335">
        <v>42571</v>
      </c>
      <c r="B2311">
        <v>202.270554</v>
      </c>
      <c r="C2311" s="334">
        <f t="shared" si="36"/>
        <v>-8.6955982215792035E-3</v>
      </c>
    </row>
    <row r="2312" spans="1:3" x14ac:dyDescent="0.3">
      <c r="A2312" s="335">
        <v>42572</v>
      </c>
      <c r="B2312">
        <v>202.50198399999999</v>
      </c>
      <c r="C2312" s="334">
        <f t="shared" si="36"/>
        <v>1.1441606077767944E-3</v>
      </c>
    </row>
    <row r="2313" spans="1:3" x14ac:dyDescent="0.3">
      <c r="A2313" s="335">
        <v>42573</v>
      </c>
      <c r="B2313">
        <v>201.190506</v>
      </c>
      <c r="C2313" s="334">
        <f t="shared" si="36"/>
        <v>-6.4763711154553127E-3</v>
      </c>
    </row>
    <row r="2314" spans="1:3" x14ac:dyDescent="0.3">
      <c r="A2314" s="335">
        <v>42576</v>
      </c>
      <c r="B2314">
        <v>199.261932</v>
      </c>
      <c r="C2314" s="334">
        <f t="shared" si="36"/>
        <v>-9.5858101773450364E-3</v>
      </c>
    </row>
    <row r="2315" spans="1:3" x14ac:dyDescent="0.3">
      <c r="A2315" s="335">
        <v>42577</v>
      </c>
      <c r="B2315">
        <v>201.11338799999999</v>
      </c>
      <c r="C2315" s="334">
        <f t="shared" si="36"/>
        <v>9.2915690489239287E-3</v>
      </c>
    </row>
    <row r="2316" spans="1:3" x14ac:dyDescent="0.3">
      <c r="A2316" s="335">
        <v>42578</v>
      </c>
      <c r="B2316">
        <v>199.801941</v>
      </c>
      <c r="C2316" s="334">
        <f t="shared" si="36"/>
        <v>-6.5209333552671642E-3</v>
      </c>
    </row>
    <row r="2317" spans="1:3" x14ac:dyDescent="0.3">
      <c r="A2317" s="335">
        <v>42579</v>
      </c>
      <c r="B2317">
        <v>200.49624600000001</v>
      </c>
      <c r="C2317" s="334">
        <f t="shared" si="36"/>
        <v>3.4749662416943897E-3</v>
      </c>
    </row>
    <row r="2318" spans="1:3" x14ac:dyDescent="0.3">
      <c r="A2318" s="335">
        <v>42580</v>
      </c>
      <c r="B2318">
        <v>202.50198399999999</v>
      </c>
      <c r="C2318" s="334">
        <f t="shared" si="36"/>
        <v>1.0003868102348308E-2</v>
      </c>
    </row>
    <row r="2319" spans="1:3" x14ac:dyDescent="0.3">
      <c r="A2319" s="335">
        <v>42583</v>
      </c>
      <c r="B2319">
        <v>199.03050200000001</v>
      </c>
      <c r="C2319" s="334">
        <f t="shared" si="36"/>
        <v>-1.7142953029042819E-2</v>
      </c>
    </row>
    <row r="2320" spans="1:3" x14ac:dyDescent="0.3">
      <c r="A2320" s="335">
        <v>42584</v>
      </c>
      <c r="B2320">
        <v>201.73052999999999</v>
      </c>
      <c r="C2320" s="334">
        <f t="shared" si="36"/>
        <v>1.3565900567341053E-2</v>
      </c>
    </row>
    <row r="2321" spans="1:3" x14ac:dyDescent="0.3">
      <c r="A2321" s="335">
        <v>42585</v>
      </c>
      <c r="B2321">
        <v>200.95910599999999</v>
      </c>
      <c r="C2321" s="334">
        <f t="shared" si="36"/>
        <v>-3.8240319896051238E-3</v>
      </c>
    </row>
    <row r="2322" spans="1:3" x14ac:dyDescent="0.3">
      <c r="A2322" s="335">
        <v>42586</v>
      </c>
      <c r="B2322">
        <v>200.80481</v>
      </c>
      <c r="C2322" s="334">
        <f t="shared" si="36"/>
        <v>-7.6779800164909176E-4</v>
      </c>
    </row>
    <row r="2323" spans="1:3" x14ac:dyDescent="0.3">
      <c r="A2323" s="335">
        <v>42587</v>
      </c>
      <c r="B2323">
        <v>199.956253</v>
      </c>
      <c r="C2323" s="334">
        <f t="shared" si="36"/>
        <v>-4.2257802489890535E-3</v>
      </c>
    </row>
    <row r="2324" spans="1:3" x14ac:dyDescent="0.3">
      <c r="A2324" s="335">
        <v>42590</v>
      </c>
      <c r="B2324">
        <v>194.78761299999999</v>
      </c>
      <c r="C2324" s="334">
        <f t="shared" si="36"/>
        <v>-2.5848854049090479E-2</v>
      </c>
    </row>
    <row r="2325" spans="1:3" x14ac:dyDescent="0.3">
      <c r="A2325" s="335">
        <v>42591</v>
      </c>
      <c r="B2325">
        <v>195.55905200000001</v>
      </c>
      <c r="C2325" s="334">
        <f t="shared" si="36"/>
        <v>3.9604109733610993E-3</v>
      </c>
    </row>
    <row r="2326" spans="1:3" x14ac:dyDescent="0.3">
      <c r="A2326" s="335">
        <v>42592</v>
      </c>
      <c r="B2326">
        <v>195.17334</v>
      </c>
      <c r="C2326" s="334">
        <f t="shared" si="36"/>
        <v>-1.9723556442685776E-3</v>
      </c>
    </row>
    <row r="2327" spans="1:3" x14ac:dyDescent="0.3">
      <c r="A2327" s="335">
        <v>42593</v>
      </c>
      <c r="B2327">
        <v>199.801941</v>
      </c>
      <c r="C2327" s="334">
        <f t="shared" si="36"/>
        <v>2.37153342766999E-2</v>
      </c>
    </row>
    <row r="2328" spans="1:3" x14ac:dyDescent="0.3">
      <c r="A2328" s="335">
        <v>42594</v>
      </c>
      <c r="B2328">
        <v>195.40475499999999</v>
      </c>
      <c r="C2328" s="334">
        <f t="shared" si="36"/>
        <v>-2.200772413917643E-2</v>
      </c>
    </row>
    <row r="2329" spans="1:3" x14ac:dyDescent="0.3">
      <c r="A2329" s="335">
        <v>42597</v>
      </c>
      <c r="B2329">
        <v>175.115982</v>
      </c>
      <c r="C2329" s="334">
        <f t="shared" si="36"/>
        <v>-0.10382947436463351</v>
      </c>
    </row>
    <row r="2330" spans="1:3" x14ac:dyDescent="0.3">
      <c r="A2330" s="335">
        <v>42598</v>
      </c>
      <c r="B2330">
        <v>177.04458600000001</v>
      </c>
      <c r="C2330" s="334">
        <f t="shared" si="36"/>
        <v>1.1013295177135844E-2</v>
      </c>
    </row>
    <row r="2331" spans="1:3" x14ac:dyDescent="0.3">
      <c r="A2331" s="335">
        <v>42599</v>
      </c>
      <c r="B2331">
        <v>172.41596999999999</v>
      </c>
      <c r="C2331" s="334">
        <f t="shared" si="36"/>
        <v>-2.6143787305645268E-2</v>
      </c>
    </row>
    <row r="2332" spans="1:3" x14ac:dyDescent="0.3">
      <c r="A2332" s="335">
        <v>42600</v>
      </c>
      <c r="B2332">
        <v>171.10453799999999</v>
      </c>
      <c r="C2332" s="334">
        <f t="shared" si="36"/>
        <v>-7.6062095639980246E-3</v>
      </c>
    </row>
    <row r="2333" spans="1:3" x14ac:dyDescent="0.3">
      <c r="A2333" s="335">
        <v>42601</v>
      </c>
      <c r="B2333">
        <v>166.167328</v>
      </c>
      <c r="C2333" s="334">
        <f t="shared" si="36"/>
        <v>-2.8854933116969659E-2</v>
      </c>
    </row>
    <row r="2334" spans="1:3" x14ac:dyDescent="0.3">
      <c r="A2334" s="335">
        <v>42604</v>
      </c>
      <c r="B2334">
        <v>172.80169699999999</v>
      </c>
      <c r="C2334" s="334">
        <f t="shared" si="36"/>
        <v>3.9925833073514862E-2</v>
      </c>
    </row>
    <row r="2335" spans="1:3" x14ac:dyDescent="0.3">
      <c r="A2335" s="335">
        <v>42605</v>
      </c>
      <c r="B2335">
        <v>176.11888099999999</v>
      </c>
      <c r="C2335" s="334">
        <f t="shared" si="36"/>
        <v>1.9196478145697825E-2</v>
      </c>
    </row>
    <row r="2336" spans="1:3" x14ac:dyDescent="0.3">
      <c r="A2336" s="335">
        <v>42606</v>
      </c>
      <c r="B2336">
        <v>177.27600100000001</v>
      </c>
      <c r="C2336" s="334">
        <f t="shared" si="36"/>
        <v>6.5701076081673519E-3</v>
      </c>
    </row>
    <row r="2337" spans="1:3" x14ac:dyDescent="0.3">
      <c r="A2337" s="335">
        <v>42607</v>
      </c>
      <c r="B2337">
        <v>177.97030599999999</v>
      </c>
      <c r="C2337" s="334">
        <f t="shared" si="36"/>
        <v>3.9165199806147797E-3</v>
      </c>
    </row>
    <row r="2338" spans="1:3" x14ac:dyDescent="0.3">
      <c r="A2338" s="335">
        <v>42608</v>
      </c>
      <c r="B2338">
        <v>176.50457800000001</v>
      </c>
      <c r="C2338" s="334">
        <f t="shared" si="36"/>
        <v>-8.2358008644429961E-3</v>
      </c>
    </row>
    <row r="2339" spans="1:3" x14ac:dyDescent="0.3">
      <c r="A2339" s="335">
        <v>42611</v>
      </c>
      <c r="B2339">
        <v>176.65885900000001</v>
      </c>
      <c r="C2339" s="334">
        <f t="shared" si="36"/>
        <v>8.7409064256677486E-4</v>
      </c>
    </row>
    <row r="2340" spans="1:3" x14ac:dyDescent="0.3">
      <c r="A2340" s="335">
        <v>42612</v>
      </c>
      <c r="B2340">
        <v>177.35316499999999</v>
      </c>
      <c r="C2340" s="334">
        <f t="shared" si="36"/>
        <v>3.9302076551959572E-3</v>
      </c>
    </row>
    <row r="2341" spans="1:3" x14ac:dyDescent="0.3">
      <c r="A2341" s="335">
        <v>42613</v>
      </c>
      <c r="B2341">
        <v>177.97030599999999</v>
      </c>
      <c r="C2341" s="334">
        <f t="shared" si="36"/>
        <v>3.4797292735091801E-3</v>
      </c>
    </row>
    <row r="2342" spans="1:3" x14ac:dyDescent="0.3">
      <c r="A2342" s="335">
        <v>42614</v>
      </c>
      <c r="B2342">
        <v>179.74461400000001</v>
      </c>
      <c r="C2342" s="334">
        <f t="shared" si="36"/>
        <v>9.9696856171052443E-3</v>
      </c>
    </row>
    <row r="2343" spans="1:3" x14ac:dyDescent="0.3">
      <c r="A2343" s="335">
        <v>42615</v>
      </c>
      <c r="B2343">
        <v>181.51890599999999</v>
      </c>
      <c r="C2343" s="334">
        <f t="shared" si="36"/>
        <v>9.8711831220710412E-3</v>
      </c>
    </row>
    <row r="2344" spans="1:3" x14ac:dyDescent="0.3">
      <c r="A2344" s="335">
        <v>42618</v>
      </c>
      <c r="B2344">
        <v>181.90463299999999</v>
      </c>
      <c r="C2344" s="334">
        <f t="shared" si="36"/>
        <v>2.1249962800018356E-3</v>
      </c>
    </row>
    <row r="2345" spans="1:3" x14ac:dyDescent="0.3">
      <c r="A2345" s="335">
        <v>42619</v>
      </c>
      <c r="B2345">
        <v>182.13606300000001</v>
      </c>
      <c r="C2345" s="334">
        <f t="shared" si="36"/>
        <v>1.2722600638765333E-3</v>
      </c>
    </row>
    <row r="2346" spans="1:3" x14ac:dyDescent="0.3">
      <c r="A2346" s="335">
        <v>42620</v>
      </c>
      <c r="B2346">
        <v>181.673203</v>
      </c>
      <c r="C2346" s="334">
        <f t="shared" si="36"/>
        <v>-2.5412869498557585E-3</v>
      </c>
    </row>
    <row r="2347" spans="1:3" x14ac:dyDescent="0.3">
      <c r="A2347" s="335">
        <v>42621</v>
      </c>
      <c r="B2347">
        <v>180.130325</v>
      </c>
      <c r="C2347" s="334">
        <f t="shared" si="36"/>
        <v>-8.4926008597976978E-3</v>
      </c>
    </row>
    <row r="2348" spans="1:3" x14ac:dyDescent="0.3">
      <c r="A2348" s="335">
        <v>42622</v>
      </c>
      <c r="B2348">
        <v>174.80741900000001</v>
      </c>
      <c r="C2348" s="334">
        <f t="shared" si="36"/>
        <v>-2.9550304758512978E-2</v>
      </c>
    </row>
    <row r="2349" spans="1:3" x14ac:dyDescent="0.3">
      <c r="A2349" s="335">
        <v>42625</v>
      </c>
      <c r="B2349">
        <v>175.81028699999999</v>
      </c>
      <c r="C2349" s="334">
        <f t="shared" si="36"/>
        <v>5.7369876275101235E-3</v>
      </c>
    </row>
    <row r="2350" spans="1:3" x14ac:dyDescent="0.3">
      <c r="A2350" s="335">
        <v>42626</v>
      </c>
      <c r="B2350">
        <v>173.187408</v>
      </c>
      <c r="C2350" s="334">
        <f t="shared" si="36"/>
        <v>-1.4918802788826478E-2</v>
      </c>
    </row>
    <row r="2351" spans="1:3" x14ac:dyDescent="0.3">
      <c r="A2351" s="335">
        <v>42627</v>
      </c>
      <c r="B2351">
        <v>177.58457899999999</v>
      </c>
      <c r="C2351" s="334">
        <f t="shared" si="36"/>
        <v>2.5389669207359383E-2</v>
      </c>
    </row>
    <row r="2352" spans="1:3" x14ac:dyDescent="0.3">
      <c r="A2352" s="335">
        <v>42628</v>
      </c>
      <c r="B2352">
        <v>178.97316000000001</v>
      </c>
      <c r="C2352" s="334">
        <f t="shared" si="36"/>
        <v>7.8192656581966852E-3</v>
      </c>
    </row>
    <row r="2353" spans="1:3" x14ac:dyDescent="0.3">
      <c r="A2353" s="335">
        <v>42629</v>
      </c>
      <c r="B2353">
        <v>183.91037</v>
      </c>
      <c r="C2353" s="334">
        <f t="shared" si="36"/>
        <v>2.7586315177091321E-2</v>
      </c>
    </row>
    <row r="2354" spans="1:3" x14ac:dyDescent="0.3">
      <c r="A2354" s="335">
        <v>42632</v>
      </c>
      <c r="B2354">
        <v>182.213211</v>
      </c>
      <c r="C2354" s="334">
        <f t="shared" si="36"/>
        <v>-9.2281854470740235E-3</v>
      </c>
    </row>
    <row r="2355" spans="1:3" x14ac:dyDescent="0.3">
      <c r="A2355" s="335">
        <v>42633</v>
      </c>
      <c r="B2355">
        <v>190.544724</v>
      </c>
      <c r="C2355" s="334">
        <f t="shared" si="36"/>
        <v>4.5723978817320779E-2</v>
      </c>
    </row>
    <row r="2356" spans="1:3" x14ac:dyDescent="0.3">
      <c r="A2356" s="335">
        <v>42634</v>
      </c>
      <c r="B2356">
        <v>188.384705</v>
      </c>
      <c r="C2356" s="334">
        <f t="shared" si="36"/>
        <v>-1.1336021038294428E-2</v>
      </c>
    </row>
    <row r="2357" spans="1:3" x14ac:dyDescent="0.3">
      <c r="A2357" s="335">
        <v>42635</v>
      </c>
      <c r="B2357">
        <v>192.24186700000001</v>
      </c>
      <c r="C2357" s="334">
        <f t="shared" si="36"/>
        <v>2.0474921252232322E-2</v>
      </c>
    </row>
    <row r="2358" spans="1:3" x14ac:dyDescent="0.3">
      <c r="A2358" s="335">
        <v>42636</v>
      </c>
      <c r="B2358">
        <v>190.390411</v>
      </c>
      <c r="C2358" s="334">
        <f t="shared" si="36"/>
        <v>-9.6308677651367851E-3</v>
      </c>
    </row>
    <row r="2359" spans="1:3" x14ac:dyDescent="0.3">
      <c r="A2359" s="335">
        <v>42639</v>
      </c>
      <c r="B2359">
        <v>180.28460699999999</v>
      </c>
      <c r="C2359" s="334">
        <f t="shared" si="36"/>
        <v>-5.307937488511439E-2</v>
      </c>
    </row>
    <row r="2360" spans="1:3" x14ac:dyDescent="0.3">
      <c r="A2360" s="335">
        <v>42640</v>
      </c>
      <c r="B2360">
        <v>177.27600100000001</v>
      </c>
      <c r="C2360" s="334">
        <f t="shared" si="36"/>
        <v>-1.6688091402057337E-2</v>
      </c>
    </row>
    <row r="2361" spans="1:3" x14ac:dyDescent="0.3">
      <c r="A2361" s="335">
        <v>42641</v>
      </c>
      <c r="B2361">
        <v>178.433167</v>
      </c>
      <c r="C2361" s="334">
        <f t="shared" si="36"/>
        <v>6.5274825327314859E-3</v>
      </c>
    </row>
    <row r="2362" spans="1:3" x14ac:dyDescent="0.3">
      <c r="A2362" s="335">
        <v>42642</v>
      </c>
      <c r="B2362">
        <v>178.20173600000001</v>
      </c>
      <c r="C2362" s="334">
        <f t="shared" si="36"/>
        <v>-1.2970178352547338E-3</v>
      </c>
    </row>
    <row r="2363" spans="1:3" x14ac:dyDescent="0.3">
      <c r="A2363" s="335">
        <v>42643</v>
      </c>
      <c r="B2363">
        <v>188.230423</v>
      </c>
      <c r="C2363" s="334">
        <f t="shared" si="36"/>
        <v>5.6277156581684425E-2</v>
      </c>
    </row>
    <row r="2364" spans="1:3" x14ac:dyDescent="0.3">
      <c r="A2364" s="335">
        <v>42646</v>
      </c>
      <c r="B2364">
        <v>189.927582</v>
      </c>
      <c r="C2364" s="334">
        <f t="shared" si="36"/>
        <v>9.0163905119630908E-3</v>
      </c>
    </row>
    <row r="2365" spans="1:3" x14ac:dyDescent="0.3">
      <c r="A2365" s="335">
        <v>42647</v>
      </c>
      <c r="B2365">
        <v>191.62472500000001</v>
      </c>
      <c r="C2365" s="334">
        <f t="shared" si="36"/>
        <v>8.9357374117468163E-3</v>
      </c>
    </row>
    <row r="2366" spans="1:3" x14ac:dyDescent="0.3">
      <c r="A2366" s="335">
        <v>42648</v>
      </c>
      <c r="B2366">
        <v>191.00758400000001</v>
      </c>
      <c r="C2366" s="334">
        <f t="shared" si="36"/>
        <v>-3.2205708318694451E-3</v>
      </c>
    </row>
    <row r="2367" spans="1:3" x14ac:dyDescent="0.3">
      <c r="A2367" s="335">
        <v>42649</v>
      </c>
      <c r="B2367">
        <v>191.701874</v>
      </c>
      <c r="C2367" s="334">
        <f t="shared" si="36"/>
        <v>3.6348818484610284E-3</v>
      </c>
    </row>
    <row r="2368" spans="1:3" x14ac:dyDescent="0.3">
      <c r="A2368" s="335">
        <v>42650</v>
      </c>
      <c r="B2368">
        <v>190.77615399999999</v>
      </c>
      <c r="C2368" s="334">
        <f t="shared" si="36"/>
        <v>-4.8289564451519783E-3</v>
      </c>
    </row>
    <row r="2369" spans="1:3" x14ac:dyDescent="0.3">
      <c r="A2369" s="335">
        <v>42653</v>
      </c>
      <c r="B2369">
        <v>192.16473400000001</v>
      </c>
      <c r="C2369" s="334">
        <f t="shared" si="36"/>
        <v>7.2785826262123871E-3</v>
      </c>
    </row>
    <row r="2370" spans="1:3" x14ac:dyDescent="0.3">
      <c r="A2370" s="335">
        <v>42654</v>
      </c>
      <c r="B2370">
        <v>192.936172</v>
      </c>
      <c r="C2370" s="334">
        <f t="shared" si="36"/>
        <v>4.0144618835211933E-3</v>
      </c>
    </row>
    <row r="2371" spans="1:3" x14ac:dyDescent="0.3">
      <c r="A2371" s="335">
        <v>42655</v>
      </c>
      <c r="B2371">
        <v>190.85328699999999</v>
      </c>
      <c r="C2371" s="334">
        <f t="shared" si="36"/>
        <v>-1.0795720566074073E-2</v>
      </c>
    </row>
    <row r="2372" spans="1:3" x14ac:dyDescent="0.3">
      <c r="A2372" s="335">
        <v>42656</v>
      </c>
      <c r="B2372">
        <v>194.01617400000001</v>
      </c>
      <c r="C2372" s="334">
        <f t="shared" si="36"/>
        <v>1.6572347533108048E-2</v>
      </c>
    </row>
    <row r="2373" spans="1:3" x14ac:dyDescent="0.3">
      <c r="A2373" s="335">
        <v>42657</v>
      </c>
      <c r="B2373">
        <v>195.096161</v>
      </c>
      <c r="C2373" s="334">
        <f t="shared" si="36"/>
        <v>5.5664792152843321E-3</v>
      </c>
    </row>
    <row r="2374" spans="1:3" x14ac:dyDescent="0.3">
      <c r="A2374" s="335">
        <v>42660</v>
      </c>
      <c r="B2374">
        <v>196.71618699999999</v>
      </c>
      <c r="C2374" s="334">
        <f t="shared" ref="C2374:C2437" si="37">(B2374-B2373)/B2373</f>
        <v>8.3037307945797861E-3</v>
      </c>
    </row>
    <row r="2375" spans="1:3" x14ac:dyDescent="0.3">
      <c r="A2375" s="335">
        <v>42661</v>
      </c>
      <c r="B2375">
        <v>196.71618699999999</v>
      </c>
      <c r="C2375" s="334">
        <f t="shared" si="37"/>
        <v>0</v>
      </c>
    </row>
    <row r="2376" spans="1:3" x14ac:dyDescent="0.3">
      <c r="A2376" s="335">
        <v>42662</v>
      </c>
      <c r="B2376">
        <v>199.49337800000001</v>
      </c>
      <c r="C2376" s="334">
        <f t="shared" si="37"/>
        <v>1.4117755342624735E-2</v>
      </c>
    </row>
    <row r="2377" spans="1:3" x14ac:dyDescent="0.3">
      <c r="A2377" s="335">
        <v>42663</v>
      </c>
      <c r="B2377">
        <v>201.96196</v>
      </c>
      <c r="C2377" s="334">
        <f t="shared" si="37"/>
        <v>1.2374255349969551E-2</v>
      </c>
    </row>
    <row r="2378" spans="1:3" x14ac:dyDescent="0.3">
      <c r="A2378" s="335">
        <v>42664</v>
      </c>
      <c r="B2378">
        <v>203.581985</v>
      </c>
      <c r="C2378" s="334">
        <f t="shared" si="37"/>
        <v>8.0214363140464588E-3</v>
      </c>
    </row>
    <row r="2379" spans="1:3" x14ac:dyDescent="0.3">
      <c r="A2379" s="335">
        <v>42667</v>
      </c>
      <c r="B2379">
        <v>204.66198700000001</v>
      </c>
      <c r="C2379" s="334">
        <f t="shared" si="37"/>
        <v>5.3049978857412526E-3</v>
      </c>
    </row>
    <row r="2380" spans="1:3" x14ac:dyDescent="0.3">
      <c r="A2380" s="335">
        <v>42668</v>
      </c>
      <c r="B2380">
        <v>208.442047</v>
      </c>
      <c r="C2380" s="334">
        <f t="shared" si="37"/>
        <v>1.8469770842203304E-2</v>
      </c>
    </row>
    <row r="2381" spans="1:3" x14ac:dyDescent="0.3">
      <c r="A2381" s="335">
        <v>42669</v>
      </c>
      <c r="B2381">
        <v>207.59345999999999</v>
      </c>
      <c r="C2381" s="334">
        <f t="shared" si="37"/>
        <v>-4.0710931993486379E-3</v>
      </c>
    </row>
    <row r="2382" spans="1:3" x14ac:dyDescent="0.3">
      <c r="A2382" s="335">
        <v>42670</v>
      </c>
      <c r="B2382">
        <v>210.756348</v>
      </c>
      <c r="C2382" s="334">
        <f t="shared" si="37"/>
        <v>1.5235971306610573E-2</v>
      </c>
    </row>
    <row r="2383" spans="1:3" x14ac:dyDescent="0.3">
      <c r="A2383" s="335">
        <v>42671</v>
      </c>
      <c r="B2383">
        <v>210.67919900000001</v>
      </c>
      <c r="C2383" s="334">
        <f t="shared" si="37"/>
        <v>-3.6605777587297858E-4</v>
      </c>
    </row>
    <row r="2384" spans="1:3" x14ac:dyDescent="0.3">
      <c r="A2384" s="335">
        <v>42674</v>
      </c>
      <c r="B2384">
        <v>206.89918499999999</v>
      </c>
      <c r="C2384" s="334">
        <f t="shared" si="37"/>
        <v>-1.7942037077898813E-2</v>
      </c>
    </row>
    <row r="2385" spans="1:3" x14ac:dyDescent="0.3">
      <c r="A2385" s="335">
        <v>42675</v>
      </c>
      <c r="B2385">
        <v>208.98202499999999</v>
      </c>
      <c r="C2385" s="334">
        <f t="shared" si="37"/>
        <v>1.0066931873124607E-2</v>
      </c>
    </row>
    <row r="2386" spans="1:3" x14ac:dyDescent="0.3">
      <c r="A2386" s="335">
        <v>42676</v>
      </c>
      <c r="B2386">
        <v>206.436295</v>
      </c>
      <c r="C2386" s="334">
        <f t="shared" si="37"/>
        <v>-1.2181573989437569E-2</v>
      </c>
    </row>
    <row r="2387" spans="1:3" x14ac:dyDescent="0.3">
      <c r="A2387" s="335">
        <v>42677</v>
      </c>
      <c r="B2387">
        <v>208.28774999999999</v>
      </c>
      <c r="C2387" s="334">
        <f t="shared" si="37"/>
        <v>8.9686505950903016E-3</v>
      </c>
    </row>
    <row r="2388" spans="1:3" x14ac:dyDescent="0.3">
      <c r="A2388" s="335">
        <v>42678</v>
      </c>
      <c r="B2388">
        <v>201.88484199999999</v>
      </c>
      <c r="C2388" s="334">
        <f t="shared" si="37"/>
        <v>-3.0740684461760218E-2</v>
      </c>
    </row>
    <row r="2389" spans="1:3" x14ac:dyDescent="0.3">
      <c r="A2389" s="335">
        <v>42681</v>
      </c>
      <c r="B2389">
        <v>206.97628800000001</v>
      </c>
      <c r="C2389" s="334">
        <f t="shared" si="37"/>
        <v>2.5219555611807741E-2</v>
      </c>
    </row>
    <row r="2390" spans="1:3" x14ac:dyDescent="0.3">
      <c r="A2390" s="335">
        <v>42682</v>
      </c>
      <c r="B2390">
        <v>208.28774999999999</v>
      </c>
      <c r="C2390" s="334">
        <f t="shared" si="37"/>
        <v>6.3362910441218147E-3</v>
      </c>
    </row>
    <row r="2391" spans="1:3" x14ac:dyDescent="0.3">
      <c r="A2391" s="335">
        <v>42683</v>
      </c>
      <c r="B2391">
        <v>207.670593</v>
      </c>
      <c r="C2391" s="334">
        <f t="shared" si="37"/>
        <v>-2.9630019048167344E-3</v>
      </c>
    </row>
    <row r="2392" spans="1:3" x14ac:dyDescent="0.3">
      <c r="A2392" s="335">
        <v>42684</v>
      </c>
      <c r="B2392">
        <v>203.11911000000001</v>
      </c>
      <c r="C2392" s="334">
        <f t="shared" si="37"/>
        <v>-2.1916839232023526E-2</v>
      </c>
    </row>
    <row r="2393" spans="1:3" x14ac:dyDescent="0.3">
      <c r="A2393" s="335">
        <v>42685</v>
      </c>
      <c r="B2393">
        <v>203.50483700000001</v>
      </c>
      <c r="C2393" s="334">
        <f t="shared" si="37"/>
        <v>1.8990187580085536E-3</v>
      </c>
    </row>
    <row r="2394" spans="1:3" x14ac:dyDescent="0.3">
      <c r="A2394" s="335">
        <v>42688</v>
      </c>
      <c r="B2394">
        <v>205.97341900000001</v>
      </c>
      <c r="C2394" s="334">
        <f t="shared" si="37"/>
        <v>1.2130335752166902E-2</v>
      </c>
    </row>
    <row r="2395" spans="1:3" x14ac:dyDescent="0.3">
      <c r="A2395" s="335">
        <v>42689</v>
      </c>
      <c r="B2395">
        <v>212.839203</v>
      </c>
      <c r="C2395" s="334">
        <f t="shared" si="37"/>
        <v>3.333334967848444E-2</v>
      </c>
    </row>
    <row r="2396" spans="1:3" x14ac:dyDescent="0.3">
      <c r="A2396" s="335">
        <v>42690</v>
      </c>
      <c r="B2396">
        <v>198.87622099999999</v>
      </c>
      <c r="C2396" s="334">
        <f t="shared" si="37"/>
        <v>-6.5603431149852648E-2</v>
      </c>
    </row>
    <row r="2397" spans="1:3" x14ac:dyDescent="0.3">
      <c r="A2397" s="335">
        <v>42691</v>
      </c>
      <c r="B2397">
        <v>200.49624600000001</v>
      </c>
      <c r="C2397" s="334">
        <f t="shared" si="37"/>
        <v>8.145895933933835E-3</v>
      </c>
    </row>
    <row r="2398" spans="1:3" x14ac:dyDescent="0.3">
      <c r="A2398" s="335">
        <v>42692</v>
      </c>
      <c r="B2398">
        <v>202.50198399999999</v>
      </c>
      <c r="C2398" s="334">
        <f t="shared" si="37"/>
        <v>1.0003868102348308E-2</v>
      </c>
    </row>
    <row r="2399" spans="1:3" x14ac:dyDescent="0.3">
      <c r="A2399" s="335">
        <v>42695</v>
      </c>
      <c r="B2399">
        <v>203.27342200000001</v>
      </c>
      <c r="C2399" s="334">
        <f t="shared" si="37"/>
        <v>3.8095330463528577E-3</v>
      </c>
    </row>
    <row r="2400" spans="1:3" x14ac:dyDescent="0.3">
      <c r="A2400" s="335">
        <v>42696</v>
      </c>
      <c r="B2400">
        <v>203.89054899999999</v>
      </c>
      <c r="C2400" s="334">
        <f t="shared" si="37"/>
        <v>3.0359453485265878E-3</v>
      </c>
    </row>
    <row r="2401" spans="1:3" x14ac:dyDescent="0.3">
      <c r="A2401" s="335">
        <v>42697</v>
      </c>
      <c r="B2401">
        <v>202.81054700000001</v>
      </c>
      <c r="C2401" s="334">
        <f t="shared" si="37"/>
        <v>-5.2969694048936962E-3</v>
      </c>
    </row>
    <row r="2402" spans="1:3" x14ac:dyDescent="0.3">
      <c r="A2402" s="335">
        <v>42698</v>
      </c>
      <c r="B2402">
        <v>204.81626900000001</v>
      </c>
      <c r="C2402" s="334">
        <f t="shared" si="37"/>
        <v>9.8896335997752192E-3</v>
      </c>
    </row>
    <row r="2403" spans="1:3" x14ac:dyDescent="0.3">
      <c r="A2403" s="335">
        <v>42699</v>
      </c>
      <c r="B2403">
        <v>203.81343100000001</v>
      </c>
      <c r="C2403" s="334">
        <f t="shared" si="37"/>
        <v>-4.896280968774004E-3</v>
      </c>
    </row>
    <row r="2404" spans="1:3" x14ac:dyDescent="0.3">
      <c r="A2404" s="335">
        <v>42702</v>
      </c>
      <c r="B2404">
        <v>204.04484600000001</v>
      </c>
      <c r="C2404" s="334">
        <f t="shared" si="37"/>
        <v>1.1354256628946027E-3</v>
      </c>
    </row>
    <row r="2405" spans="1:3" x14ac:dyDescent="0.3">
      <c r="A2405" s="335">
        <v>42703</v>
      </c>
      <c r="B2405">
        <v>205.510605</v>
      </c>
      <c r="C2405" s="334">
        <f t="shared" si="37"/>
        <v>7.1835139614356705E-3</v>
      </c>
    </row>
    <row r="2406" spans="1:3" x14ac:dyDescent="0.3">
      <c r="A2406" s="335">
        <v>42704</v>
      </c>
      <c r="B2406">
        <v>205.97341900000001</v>
      </c>
      <c r="C2406" s="334">
        <f t="shared" si="37"/>
        <v>2.2520200356570832E-3</v>
      </c>
    </row>
    <row r="2407" spans="1:3" x14ac:dyDescent="0.3">
      <c r="A2407" s="335">
        <v>42705</v>
      </c>
      <c r="B2407">
        <v>204.43057300000001</v>
      </c>
      <c r="C2407" s="334">
        <f t="shared" si="37"/>
        <v>-7.490510219670613E-3</v>
      </c>
    </row>
    <row r="2408" spans="1:3" x14ac:dyDescent="0.3">
      <c r="A2408" s="335">
        <v>42706</v>
      </c>
      <c r="B2408">
        <v>202.34767199999999</v>
      </c>
      <c r="C2408" s="334">
        <f t="shared" si="37"/>
        <v>-1.0188794021528379E-2</v>
      </c>
    </row>
    <row r="2409" spans="1:3" x14ac:dyDescent="0.3">
      <c r="A2409" s="335">
        <v>42709</v>
      </c>
      <c r="B2409">
        <v>204.199127</v>
      </c>
      <c r="C2409" s="334">
        <f t="shared" si="37"/>
        <v>9.1498705258146774E-3</v>
      </c>
    </row>
    <row r="2410" spans="1:3" x14ac:dyDescent="0.3">
      <c r="A2410" s="335">
        <v>42710</v>
      </c>
      <c r="B2410">
        <v>202.50198399999999</v>
      </c>
      <c r="C2410" s="334">
        <f t="shared" si="37"/>
        <v>-8.3112157477539614E-3</v>
      </c>
    </row>
    <row r="2411" spans="1:3" x14ac:dyDescent="0.3">
      <c r="A2411" s="335">
        <v>42711</v>
      </c>
      <c r="B2411">
        <v>201.11338799999999</v>
      </c>
      <c r="C2411" s="334">
        <f t="shared" si="37"/>
        <v>-6.857197013931512E-3</v>
      </c>
    </row>
    <row r="2412" spans="1:3" x14ac:dyDescent="0.3">
      <c r="A2412" s="335">
        <v>42712</v>
      </c>
      <c r="B2412">
        <v>202.03909300000001</v>
      </c>
      <c r="C2412" s="334">
        <f t="shared" si="37"/>
        <v>4.602900926715143E-3</v>
      </c>
    </row>
    <row r="2413" spans="1:3" x14ac:dyDescent="0.3">
      <c r="A2413" s="335">
        <v>42713</v>
      </c>
      <c r="B2413">
        <v>201.03625500000001</v>
      </c>
      <c r="C2413" s="334">
        <f t="shared" si="37"/>
        <v>-4.963583953527236E-3</v>
      </c>
    </row>
    <row r="2414" spans="1:3" x14ac:dyDescent="0.3">
      <c r="A2414" s="335">
        <v>42716</v>
      </c>
      <c r="B2414">
        <v>203.19627399999999</v>
      </c>
      <c r="C2414" s="334">
        <f t="shared" si="37"/>
        <v>1.0744425178433497E-2</v>
      </c>
    </row>
    <row r="2415" spans="1:3" x14ac:dyDescent="0.3">
      <c r="A2415" s="335">
        <v>42717</v>
      </c>
      <c r="B2415">
        <v>201.80767800000001</v>
      </c>
      <c r="C2415" s="334">
        <f t="shared" si="37"/>
        <v>-6.8337670404329288E-3</v>
      </c>
    </row>
    <row r="2416" spans="1:3" x14ac:dyDescent="0.3">
      <c r="A2416" s="335">
        <v>42718</v>
      </c>
      <c r="B2416">
        <v>200.34193400000001</v>
      </c>
      <c r="C2416" s="334">
        <f t="shared" si="37"/>
        <v>-7.2630735090267514E-3</v>
      </c>
    </row>
    <row r="2417" spans="1:3" x14ac:dyDescent="0.3">
      <c r="A2417" s="335">
        <v>42719</v>
      </c>
      <c r="B2417">
        <v>199.956253</v>
      </c>
      <c r="C2417" s="334">
        <f t="shared" si="37"/>
        <v>-1.925113690876146E-3</v>
      </c>
    </row>
    <row r="2418" spans="1:3" x14ac:dyDescent="0.3">
      <c r="A2418" s="335">
        <v>42720</v>
      </c>
      <c r="B2418">
        <v>201.80767800000001</v>
      </c>
      <c r="C2418" s="334">
        <f t="shared" si="37"/>
        <v>9.2591503002409543E-3</v>
      </c>
    </row>
    <row r="2419" spans="1:3" x14ac:dyDescent="0.3">
      <c r="A2419" s="335">
        <v>42723</v>
      </c>
      <c r="B2419">
        <v>203.27342200000001</v>
      </c>
      <c r="C2419" s="334">
        <f t="shared" si="37"/>
        <v>7.2630735090267514E-3</v>
      </c>
    </row>
    <row r="2420" spans="1:3" x14ac:dyDescent="0.3">
      <c r="A2420" s="335">
        <v>42724</v>
      </c>
      <c r="B2420">
        <v>201.26767000000001</v>
      </c>
      <c r="C2420" s="334">
        <f t="shared" si="37"/>
        <v>-9.8672614465062768E-3</v>
      </c>
    </row>
    <row r="2421" spans="1:3" x14ac:dyDescent="0.3">
      <c r="A2421" s="335">
        <v>42725</v>
      </c>
      <c r="B2421">
        <v>196.09904499999999</v>
      </c>
      <c r="C2421" s="334">
        <f t="shared" si="37"/>
        <v>-2.5680353928676274E-2</v>
      </c>
    </row>
    <row r="2422" spans="1:3" x14ac:dyDescent="0.3">
      <c r="A2422" s="335">
        <v>42726</v>
      </c>
      <c r="B2422">
        <v>194.94189499999999</v>
      </c>
      <c r="C2422" s="334">
        <f t="shared" si="37"/>
        <v>-5.9008446471526749E-3</v>
      </c>
    </row>
    <row r="2423" spans="1:3" x14ac:dyDescent="0.3">
      <c r="A2423" s="335">
        <v>42727</v>
      </c>
      <c r="B2423">
        <v>196.870499</v>
      </c>
      <c r="C2423" s="334">
        <f t="shared" si="37"/>
        <v>9.8932248504099499E-3</v>
      </c>
    </row>
    <row r="2424" spans="1:3" x14ac:dyDescent="0.3">
      <c r="A2424" s="335">
        <v>42731</v>
      </c>
      <c r="B2424">
        <v>200.033356</v>
      </c>
      <c r="C2424" s="334">
        <f t="shared" si="37"/>
        <v>1.6065672693804683E-2</v>
      </c>
    </row>
    <row r="2425" spans="1:3" x14ac:dyDescent="0.3">
      <c r="A2425" s="335">
        <v>42732</v>
      </c>
      <c r="B2425">
        <v>199.33909600000001</v>
      </c>
      <c r="C2425" s="334">
        <f t="shared" si="37"/>
        <v>-3.4707211531260101E-3</v>
      </c>
    </row>
    <row r="2426" spans="1:3" x14ac:dyDescent="0.3">
      <c r="A2426" s="335">
        <v>42733</v>
      </c>
      <c r="B2426">
        <v>199.801941</v>
      </c>
      <c r="C2426" s="334">
        <f t="shared" si="37"/>
        <v>2.3218977575778072E-3</v>
      </c>
    </row>
    <row r="2427" spans="1:3" x14ac:dyDescent="0.3">
      <c r="A2427" s="335">
        <v>42734</v>
      </c>
      <c r="B2427">
        <v>199.10766599999999</v>
      </c>
      <c r="C2427" s="334">
        <f t="shared" si="37"/>
        <v>-3.4748160930028436E-3</v>
      </c>
    </row>
    <row r="2428" spans="1:3" x14ac:dyDescent="0.3">
      <c r="A2428" s="335">
        <v>42737</v>
      </c>
      <c r="B2428">
        <v>198.87622099999999</v>
      </c>
      <c r="C2428" s="334">
        <f t="shared" si="37"/>
        <v>-1.1624112956053027E-3</v>
      </c>
    </row>
    <row r="2429" spans="1:3" x14ac:dyDescent="0.3">
      <c r="A2429" s="335">
        <v>42738</v>
      </c>
      <c r="B2429">
        <v>197.17907700000001</v>
      </c>
      <c r="C2429" s="334">
        <f t="shared" si="37"/>
        <v>-8.5336697945400941E-3</v>
      </c>
    </row>
    <row r="2430" spans="1:3" x14ac:dyDescent="0.3">
      <c r="A2430" s="335">
        <v>42739</v>
      </c>
      <c r="B2430">
        <v>197.10192900000001</v>
      </c>
      <c r="C2430" s="334">
        <f t="shared" si="37"/>
        <v>-3.9125855123053443E-4</v>
      </c>
    </row>
    <row r="2431" spans="1:3" x14ac:dyDescent="0.3">
      <c r="A2431" s="335">
        <v>42740</v>
      </c>
      <c r="B2431">
        <v>186.30183400000001</v>
      </c>
      <c r="C2431" s="334">
        <f t="shared" si="37"/>
        <v>-5.4794466268262641E-2</v>
      </c>
    </row>
    <row r="2432" spans="1:3" x14ac:dyDescent="0.3">
      <c r="A2432" s="335">
        <v>42741</v>
      </c>
      <c r="B2432">
        <v>187.690414</v>
      </c>
      <c r="C2432" s="334">
        <f t="shared" si="37"/>
        <v>7.4533887841382726E-3</v>
      </c>
    </row>
    <row r="2433" spans="1:3" x14ac:dyDescent="0.3">
      <c r="A2433" s="335">
        <v>42744</v>
      </c>
      <c r="B2433">
        <v>180.130325</v>
      </c>
      <c r="C2433" s="334">
        <f t="shared" si="37"/>
        <v>-4.027956909935744E-2</v>
      </c>
    </row>
    <row r="2434" spans="1:3" x14ac:dyDescent="0.3">
      <c r="A2434" s="335">
        <v>42745</v>
      </c>
      <c r="B2434">
        <v>179.51316800000001</v>
      </c>
      <c r="C2434" s="334">
        <f t="shared" si="37"/>
        <v>-3.4261693582132366E-3</v>
      </c>
    </row>
    <row r="2435" spans="1:3" x14ac:dyDescent="0.3">
      <c r="A2435" s="335">
        <v>42746</v>
      </c>
      <c r="B2435">
        <v>184.064651</v>
      </c>
      <c r="C2435" s="334">
        <f t="shared" si="37"/>
        <v>2.5354591257617326E-2</v>
      </c>
    </row>
    <row r="2436" spans="1:3" x14ac:dyDescent="0.3">
      <c r="A2436" s="335">
        <v>42747</v>
      </c>
      <c r="B2436">
        <v>183.21606399999999</v>
      </c>
      <c r="C2436" s="334">
        <f t="shared" si="37"/>
        <v>-4.6102659874655083E-3</v>
      </c>
    </row>
    <row r="2437" spans="1:3" x14ac:dyDescent="0.3">
      <c r="A2437" s="335">
        <v>42748</v>
      </c>
      <c r="B2437">
        <v>181.673203</v>
      </c>
      <c r="C2437" s="334">
        <f t="shared" si="37"/>
        <v>-8.4209919497014625E-3</v>
      </c>
    </row>
    <row r="2438" spans="1:3" x14ac:dyDescent="0.3">
      <c r="A2438" s="335">
        <v>42751</v>
      </c>
      <c r="B2438">
        <v>179.20460499999999</v>
      </c>
      <c r="C2438" s="334">
        <f t="shared" ref="C2438:C2501" si="38">(B2438-B2437)/B2437</f>
        <v>-1.3588123945830439E-2</v>
      </c>
    </row>
    <row r="2439" spans="1:3" x14ac:dyDescent="0.3">
      <c r="A2439" s="335">
        <v>42752</v>
      </c>
      <c r="B2439">
        <v>182.44464099999999</v>
      </c>
      <c r="C2439" s="334">
        <f t="shared" si="38"/>
        <v>1.8080093421706456E-2</v>
      </c>
    </row>
    <row r="2440" spans="1:3" x14ac:dyDescent="0.3">
      <c r="A2440" s="335">
        <v>42753</v>
      </c>
      <c r="B2440">
        <v>183.91037</v>
      </c>
      <c r="C2440" s="334">
        <f t="shared" si="38"/>
        <v>8.0338287382198878E-3</v>
      </c>
    </row>
    <row r="2441" spans="1:3" x14ac:dyDescent="0.3">
      <c r="A2441" s="335">
        <v>42754</v>
      </c>
      <c r="B2441">
        <v>185.22181699999999</v>
      </c>
      <c r="C2441" s="334">
        <f t="shared" si="38"/>
        <v>7.1309029501707101E-3</v>
      </c>
    </row>
    <row r="2442" spans="1:3" x14ac:dyDescent="0.3">
      <c r="A2442" s="335">
        <v>42755</v>
      </c>
      <c r="B2442">
        <v>184.99037200000001</v>
      </c>
      <c r="C2442" s="334">
        <f t="shared" si="38"/>
        <v>-1.2495558231133187E-3</v>
      </c>
    </row>
    <row r="2443" spans="1:3" x14ac:dyDescent="0.3">
      <c r="A2443" s="335">
        <v>42758</v>
      </c>
      <c r="B2443">
        <v>185.14466899999999</v>
      </c>
      <c r="C2443" s="334">
        <f t="shared" si="38"/>
        <v>8.3408124613093635E-4</v>
      </c>
    </row>
    <row r="2444" spans="1:3" x14ac:dyDescent="0.3">
      <c r="A2444" s="335">
        <v>42759</v>
      </c>
      <c r="B2444">
        <v>183.83322100000001</v>
      </c>
      <c r="C2444" s="334">
        <f t="shared" si="38"/>
        <v>-7.0833689518761374E-3</v>
      </c>
    </row>
    <row r="2445" spans="1:3" x14ac:dyDescent="0.3">
      <c r="A2445" s="335">
        <v>42760</v>
      </c>
      <c r="B2445">
        <v>183.29321300000001</v>
      </c>
      <c r="C2445" s="334">
        <f t="shared" si="38"/>
        <v>-2.9374886490184503E-3</v>
      </c>
    </row>
    <row r="2446" spans="1:3" x14ac:dyDescent="0.3">
      <c r="A2446" s="335">
        <v>42761</v>
      </c>
      <c r="B2446">
        <v>183.21606399999999</v>
      </c>
      <c r="C2446" s="334">
        <f t="shared" si="38"/>
        <v>-4.2090483732215383E-4</v>
      </c>
    </row>
    <row r="2447" spans="1:3" x14ac:dyDescent="0.3">
      <c r="A2447" s="335">
        <v>42762</v>
      </c>
      <c r="B2447">
        <v>182.367493</v>
      </c>
      <c r="C2447" s="334">
        <f t="shared" si="38"/>
        <v>-4.6315316543422344E-3</v>
      </c>
    </row>
    <row r="2448" spans="1:3" x14ac:dyDescent="0.3">
      <c r="A2448" s="335">
        <v>42765</v>
      </c>
      <c r="B2448">
        <v>180.74748199999999</v>
      </c>
      <c r="C2448" s="334">
        <f t="shared" si="38"/>
        <v>-8.8832224063090295E-3</v>
      </c>
    </row>
    <row r="2449" spans="1:3" x14ac:dyDescent="0.3">
      <c r="A2449" s="335">
        <v>42766</v>
      </c>
      <c r="B2449">
        <v>179.976044</v>
      </c>
      <c r="C2449" s="334">
        <f t="shared" si="38"/>
        <v>-4.2680428599275828E-3</v>
      </c>
    </row>
    <row r="2450" spans="1:3" x14ac:dyDescent="0.3">
      <c r="A2450" s="335">
        <v>42767</v>
      </c>
      <c r="B2450">
        <v>182.907501</v>
      </c>
      <c r="C2450" s="334">
        <f t="shared" si="38"/>
        <v>1.6288039979365225E-2</v>
      </c>
    </row>
    <row r="2451" spans="1:3" x14ac:dyDescent="0.3">
      <c r="A2451" s="335">
        <v>42768</v>
      </c>
      <c r="B2451">
        <v>180.20747399999999</v>
      </c>
      <c r="C2451" s="334">
        <f t="shared" si="38"/>
        <v>-1.4761707339711595E-2</v>
      </c>
    </row>
    <row r="2452" spans="1:3" x14ac:dyDescent="0.3">
      <c r="A2452" s="335">
        <v>42769</v>
      </c>
      <c r="B2452">
        <v>182.75322</v>
      </c>
      <c r="C2452" s="334">
        <f t="shared" si="38"/>
        <v>1.4126750369965279E-2</v>
      </c>
    </row>
    <row r="2453" spans="1:3" x14ac:dyDescent="0.3">
      <c r="A2453" s="335">
        <v>42772</v>
      </c>
      <c r="B2453">
        <v>180.97891200000001</v>
      </c>
      <c r="C2453" s="334">
        <f t="shared" si="38"/>
        <v>-9.7087646390032999E-3</v>
      </c>
    </row>
    <row r="2454" spans="1:3" x14ac:dyDescent="0.3">
      <c r="A2454" s="335">
        <v>42773</v>
      </c>
      <c r="B2454">
        <v>182.367493</v>
      </c>
      <c r="C2454" s="334">
        <f t="shared" si="38"/>
        <v>7.6726121549453661E-3</v>
      </c>
    </row>
    <row r="2455" spans="1:3" x14ac:dyDescent="0.3">
      <c r="A2455" s="335">
        <v>42774</v>
      </c>
      <c r="B2455">
        <v>184.83607499999999</v>
      </c>
      <c r="C2455" s="334">
        <f t="shared" si="38"/>
        <v>1.353630495978797E-2</v>
      </c>
    </row>
    <row r="2456" spans="1:3" x14ac:dyDescent="0.3">
      <c r="A2456" s="335">
        <v>42775</v>
      </c>
      <c r="B2456">
        <v>183.67894000000001</v>
      </c>
      <c r="C2456" s="334">
        <f t="shared" si="38"/>
        <v>-6.2603309445950018E-3</v>
      </c>
    </row>
    <row r="2457" spans="1:3" x14ac:dyDescent="0.3">
      <c r="A2457" s="335">
        <v>42776</v>
      </c>
      <c r="B2457">
        <v>184.141785</v>
      </c>
      <c r="C2457" s="334">
        <f t="shared" si="38"/>
        <v>2.5198588362933022E-3</v>
      </c>
    </row>
    <row r="2458" spans="1:3" x14ac:dyDescent="0.3">
      <c r="A2458" s="335">
        <v>42779</v>
      </c>
      <c r="B2458">
        <v>183.83322100000001</v>
      </c>
      <c r="C2458" s="334">
        <f t="shared" si="38"/>
        <v>-1.6756870256253345E-3</v>
      </c>
    </row>
    <row r="2459" spans="1:3" x14ac:dyDescent="0.3">
      <c r="A2459" s="335">
        <v>42780</v>
      </c>
      <c r="B2459">
        <v>181.673203</v>
      </c>
      <c r="C2459" s="334">
        <f t="shared" si="38"/>
        <v>-1.1749878440088953E-2</v>
      </c>
    </row>
    <row r="2460" spans="1:3" x14ac:dyDescent="0.3">
      <c r="A2460" s="335">
        <v>42781</v>
      </c>
      <c r="B2460">
        <v>172.03024300000001</v>
      </c>
      <c r="C2460" s="334">
        <f t="shared" si="38"/>
        <v>-5.307860400303499E-2</v>
      </c>
    </row>
    <row r="2461" spans="1:3" x14ac:dyDescent="0.3">
      <c r="A2461" s="335">
        <v>42782</v>
      </c>
      <c r="B2461">
        <v>171.18164100000001</v>
      </c>
      <c r="C2461" s="334">
        <f t="shared" si="38"/>
        <v>-4.9328652055673694E-3</v>
      </c>
    </row>
    <row r="2462" spans="1:3" x14ac:dyDescent="0.3">
      <c r="A2462" s="335">
        <v>42783</v>
      </c>
      <c r="B2462">
        <v>169.09878499999999</v>
      </c>
      <c r="C2462" s="334">
        <f t="shared" si="38"/>
        <v>-1.216751976340746E-2</v>
      </c>
    </row>
    <row r="2463" spans="1:3" x14ac:dyDescent="0.3">
      <c r="A2463" s="335">
        <v>42786</v>
      </c>
      <c r="B2463">
        <v>171.72167999999999</v>
      </c>
      <c r="C2463" s="334">
        <f t="shared" si="38"/>
        <v>1.551102215193326E-2</v>
      </c>
    </row>
    <row r="2464" spans="1:3" x14ac:dyDescent="0.3">
      <c r="A2464" s="335">
        <v>42787</v>
      </c>
      <c r="B2464">
        <v>171.41310100000001</v>
      </c>
      <c r="C2464" s="334">
        <f t="shared" si="38"/>
        <v>-1.7969717044462902E-3</v>
      </c>
    </row>
    <row r="2465" spans="1:3" x14ac:dyDescent="0.3">
      <c r="A2465" s="335">
        <v>42788</v>
      </c>
      <c r="B2465">
        <v>172.10740699999999</v>
      </c>
      <c r="C2465" s="334">
        <f t="shared" si="38"/>
        <v>4.0504838658743077E-3</v>
      </c>
    </row>
    <row r="2466" spans="1:3" x14ac:dyDescent="0.3">
      <c r="A2466" s="335">
        <v>42789</v>
      </c>
      <c r="B2466">
        <v>167.093063</v>
      </c>
      <c r="C2466" s="334">
        <f t="shared" si="38"/>
        <v>-2.9134969188165123E-2</v>
      </c>
    </row>
    <row r="2467" spans="1:3" x14ac:dyDescent="0.3">
      <c r="A2467" s="335">
        <v>42790</v>
      </c>
      <c r="B2467">
        <v>168.09591699999999</v>
      </c>
      <c r="C2467" s="334">
        <f t="shared" si="38"/>
        <v>6.0017692057029622E-3</v>
      </c>
    </row>
    <row r="2468" spans="1:3" x14ac:dyDescent="0.3">
      <c r="A2468" s="335">
        <v>42793</v>
      </c>
      <c r="B2468">
        <v>167.093063</v>
      </c>
      <c r="C2468" s="334">
        <f t="shared" si="38"/>
        <v>-5.965962873446742E-3</v>
      </c>
    </row>
    <row r="2469" spans="1:3" x14ac:dyDescent="0.3">
      <c r="A2469" s="335">
        <v>42794</v>
      </c>
      <c r="B2469">
        <v>163.46729999999999</v>
      </c>
      <c r="C2469" s="334">
        <f t="shared" si="38"/>
        <v>-2.1699063593082893E-2</v>
      </c>
    </row>
    <row r="2470" spans="1:3" x14ac:dyDescent="0.3">
      <c r="A2470" s="335">
        <v>42795</v>
      </c>
      <c r="B2470">
        <v>167.40164200000001</v>
      </c>
      <c r="C2470" s="334">
        <f t="shared" si="38"/>
        <v>2.4068067436117287E-2</v>
      </c>
    </row>
    <row r="2471" spans="1:3" x14ac:dyDescent="0.3">
      <c r="A2471" s="335">
        <v>42796</v>
      </c>
      <c r="B2471">
        <v>166.47590600000001</v>
      </c>
      <c r="C2471" s="334">
        <f t="shared" si="38"/>
        <v>-5.5300293888395705E-3</v>
      </c>
    </row>
    <row r="2472" spans="1:3" x14ac:dyDescent="0.3">
      <c r="A2472" s="335">
        <v>42797</v>
      </c>
      <c r="B2472">
        <v>161.924408</v>
      </c>
      <c r="C2472" s="334">
        <f t="shared" si="38"/>
        <v>-2.7340280701040359E-2</v>
      </c>
    </row>
    <row r="2473" spans="1:3" x14ac:dyDescent="0.3">
      <c r="A2473" s="335">
        <v>42800</v>
      </c>
      <c r="B2473">
        <v>163.158737</v>
      </c>
      <c r="C2473" s="334">
        <f t="shared" si="38"/>
        <v>7.6228717785400361E-3</v>
      </c>
    </row>
    <row r="2474" spans="1:3" x14ac:dyDescent="0.3">
      <c r="A2474" s="335">
        <v>42801</v>
      </c>
      <c r="B2474">
        <v>159.45584099999999</v>
      </c>
      <c r="C2474" s="334">
        <f t="shared" si="38"/>
        <v>-2.269505187454356E-2</v>
      </c>
    </row>
    <row r="2475" spans="1:3" x14ac:dyDescent="0.3">
      <c r="A2475" s="335">
        <v>42802</v>
      </c>
      <c r="B2475">
        <v>159.841568</v>
      </c>
      <c r="C2475" s="334">
        <f t="shared" si="38"/>
        <v>2.4190208247059624E-3</v>
      </c>
    </row>
    <row r="2476" spans="1:3" x14ac:dyDescent="0.3">
      <c r="A2476" s="335">
        <v>42803</v>
      </c>
      <c r="B2476">
        <v>162.85015899999999</v>
      </c>
      <c r="C2476" s="334">
        <f t="shared" si="38"/>
        <v>1.8822331622772841E-2</v>
      </c>
    </row>
    <row r="2477" spans="1:3" x14ac:dyDescent="0.3">
      <c r="A2477" s="335">
        <v>42804</v>
      </c>
      <c r="B2477">
        <v>163.158737</v>
      </c>
      <c r="C2477" s="334">
        <f t="shared" si="38"/>
        <v>1.8948584508290923E-3</v>
      </c>
    </row>
    <row r="2478" spans="1:3" x14ac:dyDescent="0.3">
      <c r="A2478" s="335">
        <v>42807</v>
      </c>
      <c r="B2478">
        <v>164.77874800000001</v>
      </c>
      <c r="C2478" s="334">
        <f t="shared" si="38"/>
        <v>9.9290484211091018E-3</v>
      </c>
    </row>
    <row r="2479" spans="1:3" x14ac:dyDescent="0.3">
      <c r="A2479" s="335">
        <v>42808</v>
      </c>
      <c r="B2479">
        <v>162.387314</v>
      </c>
      <c r="C2479" s="334">
        <f t="shared" si="38"/>
        <v>-1.4513000183737308E-2</v>
      </c>
    </row>
    <row r="2480" spans="1:3" x14ac:dyDescent="0.3">
      <c r="A2480" s="335">
        <v>42809</v>
      </c>
      <c r="B2480">
        <v>162.155869</v>
      </c>
      <c r="C2480" s="334">
        <f t="shared" si="38"/>
        <v>-1.4252652765720842E-3</v>
      </c>
    </row>
    <row r="2481" spans="1:3" x14ac:dyDescent="0.3">
      <c r="A2481" s="335">
        <v>42810</v>
      </c>
      <c r="B2481">
        <v>160.844437</v>
      </c>
      <c r="C2481" s="334">
        <f t="shared" si="38"/>
        <v>-8.0874778574927583E-3</v>
      </c>
    </row>
    <row r="2482" spans="1:3" x14ac:dyDescent="0.3">
      <c r="A2482" s="335">
        <v>42811</v>
      </c>
      <c r="B2482">
        <v>160.76727299999999</v>
      </c>
      <c r="C2482" s="334">
        <f t="shared" si="38"/>
        <v>-4.7974304513876629E-4</v>
      </c>
    </row>
    <row r="2483" spans="1:3" x14ac:dyDescent="0.3">
      <c r="A2483" s="335">
        <v>42814</v>
      </c>
      <c r="B2483">
        <v>160.99870300000001</v>
      </c>
      <c r="C2483" s="334">
        <f t="shared" si="38"/>
        <v>1.4395342763574609E-3</v>
      </c>
    </row>
    <row r="2484" spans="1:3" x14ac:dyDescent="0.3">
      <c r="A2484" s="335">
        <v>42815</v>
      </c>
      <c r="B2484">
        <v>158.68438699999999</v>
      </c>
      <c r="C2484" s="334">
        <f t="shared" si="38"/>
        <v>-1.4374749341924942E-2</v>
      </c>
    </row>
    <row r="2485" spans="1:3" x14ac:dyDescent="0.3">
      <c r="A2485" s="335">
        <v>42816</v>
      </c>
      <c r="B2485">
        <v>156.678665</v>
      </c>
      <c r="C2485" s="334">
        <f t="shared" si="38"/>
        <v>-1.2639693406005922E-2</v>
      </c>
    </row>
    <row r="2486" spans="1:3" x14ac:dyDescent="0.3">
      <c r="A2486" s="335">
        <v>42817</v>
      </c>
      <c r="B2486">
        <v>156.37008700000001</v>
      </c>
      <c r="C2486" s="334">
        <f t="shared" si="38"/>
        <v>-1.9694959744518052E-3</v>
      </c>
    </row>
    <row r="2487" spans="1:3" x14ac:dyDescent="0.3">
      <c r="A2487" s="335">
        <v>42818</v>
      </c>
      <c r="B2487">
        <v>152.20434599999999</v>
      </c>
      <c r="C2487" s="334">
        <f t="shared" si="38"/>
        <v>-2.6640267840997142E-2</v>
      </c>
    </row>
    <row r="2488" spans="1:3" x14ac:dyDescent="0.3">
      <c r="A2488" s="335">
        <v>42821</v>
      </c>
      <c r="B2488">
        <v>148.73287999999999</v>
      </c>
      <c r="C2488" s="334">
        <f t="shared" si="38"/>
        <v>-2.2807929544928978E-2</v>
      </c>
    </row>
    <row r="2489" spans="1:3" x14ac:dyDescent="0.3">
      <c r="A2489" s="335">
        <v>42822</v>
      </c>
      <c r="B2489">
        <v>146.958572</v>
      </c>
      <c r="C2489" s="334">
        <f t="shared" si="38"/>
        <v>-1.1929494002939973E-2</v>
      </c>
    </row>
    <row r="2490" spans="1:3" x14ac:dyDescent="0.3">
      <c r="A2490" s="335">
        <v>42823</v>
      </c>
      <c r="B2490">
        <v>143.56426999999999</v>
      </c>
      <c r="C2490" s="334">
        <f t="shared" si="38"/>
        <v>-2.3096999064471109E-2</v>
      </c>
    </row>
    <row r="2491" spans="1:3" x14ac:dyDescent="0.3">
      <c r="A2491" s="335">
        <v>42824</v>
      </c>
      <c r="B2491">
        <v>145.029968</v>
      </c>
      <c r="C2491" s="334">
        <f t="shared" si="38"/>
        <v>1.0209350836388492E-2</v>
      </c>
    </row>
    <row r="2492" spans="1:3" x14ac:dyDescent="0.3">
      <c r="A2492" s="335">
        <v>42825</v>
      </c>
      <c r="B2492">
        <v>142.86998</v>
      </c>
      <c r="C2492" s="334">
        <f t="shared" si="38"/>
        <v>-1.4893390861121878E-2</v>
      </c>
    </row>
    <row r="2493" spans="1:3" x14ac:dyDescent="0.3">
      <c r="A2493" s="335">
        <v>42828</v>
      </c>
      <c r="B2493">
        <v>141.712784</v>
      </c>
      <c r="C2493" s="334">
        <f t="shared" si="38"/>
        <v>-8.0996441659752384E-3</v>
      </c>
    </row>
    <row r="2494" spans="1:3" x14ac:dyDescent="0.3">
      <c r="A2494" s="335">
        <v>42829</v>
      </c>
      <c r="B2494">
        <v>139.01280199999999</v>
      </c>
      <c r="C2494" s="334">
        <f t="shared" si="38"/>
        <v>-1.9052494233688936E-2</v>
      </c>
    </row>
    <row r="2495" spans="1:3" x14ac:dyDescent="0.3">
      <c r="A2495" s="335">
        <v>42830</v>
      </c>
      <c r="B2495">
        <v>139.398483</v>
      </c>
      <c r="C2495" s="334">
        <f t="shared" si="38"/>
        <v>2.7744279264294326E-3</v>
      </c>
    </row>
    <row r="2496" spans="1:3" x14ac:dyDescent="0.3">
      <c r="A2496" s="335">
        <v>42831</v>
      </c>
      <c r="B2496">
        <v>140.478531</v>
      </c>
      <c r="C2496" s="334">
        <f t="shared" si="38"/>
        <v>7.7479178880304244E-3</v>
      </c>
    </row>
    <row r="2497" spans="1:3" x14ac:dyDescent="0.3">
      <c r="A2497" s="335">
        <v>42832</v>
      </c>
      <c r="B2497">
        <v>142.09852599999999</v>
      </c>
      <c r="C2497" s="334">
        <f t="shared" si="38"/>
        <v>1.1531975658259046E-2</v>
      </c>
    </row>
    <row r="2498" spans="1:3" x14ac:dyDescent="0.3">
      <c r="A2498" s="335">
        <v>42835</v>
      </c>
      <c r="B2498">
        <v>144.41282699999999</v>
      </c>
      <c r="C2498" s="334">
        <f t="shared" si="38"/>
        <v>1.6286593993241002E-2</v>
      </c>
    </row>
    <row r="2499" spans="1:3" x14ac:dyDescent="0.3">
      <c r="A2499" s="335">
        <v>42836</v>
      </c>
      <c r="B2499">
        <v>143.71855199999999</v>
      </c>
      <c r="C2499" s="334">
        <f t="shared" si="38"/>
        <v>-4.8075715601080555E-3</v>
      </c>
    </row>
    <row r="2500" spans="1:3" x14ac:dyDescent="0.3">
      <c r="A2500" s="335">
        <v>42837</v>
      </c>
      <c r="B2500">
        <v>145.18426500000001</v>
      </c>
      <c r="C2500" s="334">
        <f t="shared" si="38"/>
        <v>1.0198495459375505E-2</v>
      </c>
    </row>
    <row r="2501" spans="1:3" x14ac:dyDescent="0.3">
      <c r="A2501" s="335">
        <v>42838</v>
      </c>
      <c r="B2501">
        <v>145.18426500000001</v>
      </c>
      <c r="C2501" s="334">
        <f t="shared" si="38"/>
        <v>0</v>
      </c>
    </row>
    <row r="2502" spans="1:3" x14ac:dyDescent="0.3">
      <c r="A2502" s="335">
        <v>42843</v>
      </c>
      <c r="B2502">
        <v>149.350021</v>
      </c>
      <c r="C2502" s="334">
        <f t="shared" ref="C2502:C2565" si="39">(B2502-B2501)/B2501</f>
        <v>2.8692888998680312E-2</v>
      </c>
    </row>
    <row r="2503" spans="1:3" x14ac:dyDescent="0.3">
      <c r="A2503" s="335">
        <v>42844</v>
      </c>
      <c r="B2503">
        <v>144.104263</v>
      </c>
      <c r="C2503" s="334">
        <f t="shared" si="39"/>
        <v>-3.5123918730483442E-2</v>
      </c>
    </row>
    <row r="2504" spans="1:3" x14ac:dyDescent="0.3">
      <c r="A2504" s="335">
        <v>42845</v>
      </c>
      <c r="B2504">
        <v>145.80140700000001</v>
      </c>
      <c r="C2504" s="334">
        <f t="shared" si="39"/>
        <v>1.1777194960568298E-2</v>
      </c>
    </row>
    <row r="2505" spans="1:3" x14ac:dyDescent="0.3">
      <c r="A2505" s="335">
        <v>42846</v>
      </c>
      <c r="B2505">
        <v>146.49572800000001</v>
      </c>
      <c r="C2505" s="334">
        <f t="shared" si="39"/>
        <v>4.7621008211532704E-3</v>
      </c>
    </row>
    <row r="2506" spans="1:3" x14ac:dyDescent="0.3">
      <c r="A2506" s="335">
        <v>42849</v>
      </c>
      <c r="B2506">
        <v>146.10998499999999</v>
      </c>
      <c r="C2506" s="334">
        <f t="shared" si="39"/>
        <v>-2.6331348037672416E-3</v>
      </c>
    </row>
    <row r="2507" spans="1:3" x14ac:dyDescent="0.3">
      <c r="A2507" s="335">
        <v>42850</v>
      </c>
      <c r="B2507">
        <v>151.35575900000001</v>
      </c>
      <c r="C2507" s="334">
        <f t="shared" si="39"/>
        <v>3.5902912453245492E-2</v>
      </c>
    </row>
    <row r="2508" spans="1:3" x14ac:dyDescent="0.3">
      <c r="A2508" s="335">
        <v>42851</v>
      </c>
      <c r="B2508">
        <v>154.287216</v>
      </c>
      <c r="C2508" s="334">
        <f t="shared" si="39"/>
        <v>1.9367991144624994E-2</v>
      </c>
    </row>
    <row r="2509" spans="1:3" x14ac:dyDescent="0.3">
      <c r="A2509" s="335">
        <v>42852</v>
      </c>
      <c r="B2509">
        <v>156.524384</v>
      </c>
      <c r="C2509" s="334">
        <f t="shared" si="39"/>
        <v>1.4500021829417137E-2</v>
      </c>
    </row>
    <row r="2510" spans="1:3" x14ac:dyDescent="0.3">
      <c r="A2510" s="335">
        <v>42853</v>
      </c>
      <c r="B2510">
        <v>157.141525</v>
      </c>
      <c r="C2510" s="334">
        <f t="shared" si="39"/>
        <v>3.9427786535802863E-3</v>
      </c>
    </row>
    <row r="2511" spans="1:3" x14ac:dyDescent="0.3">
      <c r="A2511" s="335">
        <v>42857</v>
      </c>
      <c r="B2511">
        <v>159.14726300000001</v>
      </c>
      <c r="C2511" s="334">
        <f t="shared" si="39"/>
        <v>1.2763895475750334E-2</v>
      </c>
    </row>
    <row r="2512" spans="1:3" x14ac:dyDescent="0.3">
      <c r="A2512" s="335">
        <v>42858</v>
      </c>
      <c r="B2512">
        <v>160.07299800000001</v>
      </c>
      <c r="C2512" s="334">
        <f t="shared" si="39"/>
        <v>5.8168452447718375E-3</v>
      </c>
    </row>
    <row r="2513" spans="1:3" x14ac:dyDescent="0.3">
      <c r="A2513" s="335">
        <v>42859</v>
      </c>
      <c r="B2513">
        <v>158.37582399999999</v>
      </c>
      <c r="C2513" s="334">
        <f t="shared" si="39"/>
        <v>-1.0602500241796046E-2</v>
      </c>
    </row>
    <row r="2514" spans="1:3" x14ac:dyDescent="0.3">
      <c r="A2514" s="335">
        <v>42860</v>
      </c>
      <c r="B2514">
        <v>165.08732599999999</v>
      </c>
      <c r="C2514" s="334">
        <f t="shared" si="39"/>
        <v>4.23770612868287E-2</v>
      </c>
    </row>
    <row r="2515" spans="1:3" x14ac:dyDescent="0.3">
      <c r="A2515" s="335">
        <v>42863</v>
      </c>
      <c r="B2515">
        <v>169.87022400000001</v>
      </c>
      <c r="C2515" s="334">
        <f t="shared" si="39"/>
        <v>2.8971927257456561E-2</v>
      </c>
    </row>
    <row r="2516" spans="1:3" x14ac:dyDescent="0.3">
      <c r="A2516" s="335">
        <v>42864</v>
      </c>
      <c r="B2516">
        <v>172.03024300000001</v>
      </c>
      <c r="C2516" s="334">
        <f t="shared" si="39"/>
        <v>1.2715701134296528E-2</v>
      </c>
    </row>
    <row r="2517" spans="1:3" x14ac:dyDescent="0.3">
      <c r="A2517" s="335">
        <v>42865</v>
      </c>
      <c r="B2517">
        <v>165.010178</v>
      </c>
      <c r="C2517" s="334">
        <f t="shared" si="39"/>
        <v>-4.0807156216131228E-2</v>
      </c>
    </row>
    <row r="2518" spans="1:3" x14ac:dyDescent="0.3">
      <c r="A2518" s="335">
        <v>42866</v>
      </c>
      <c r="B2518">
        <v>166.86163300000001</v>
      </c>
      <c r="C2518" s="334">
        <f t="shared" si="39"/>
        <v>1.1220247274686387E-2</v>
      </c>
    </row>
    <row r="2519" spans="1:3" x14ac:dyDescent="0.3">
      <c r="A2519" s="335">
        <v>42867</v>
      </c>
      <c r="B2519">
        <v>169.638779</v>
      </c>
      <c r="C2519" s="334">
        <f t="shared" si="39"/>
        <v>1.6643406576273813E-2</v>
      </c>
    </row>
    <row r="2520" spans="1:3" x14ac:dyDescent="0.3">
      <c r="A2520" s="335">
        <v>42870</v>
      </c>
      <c r="B2520">
        <v>168.635941</v>
      </c>
      <c r="C2520" s="334">
        <f t="shared" si="39"/>
        <v>-5.911608217835599E-3</v>
      </c>
    </row>
    <row r="2521" spans="1:3" x14ac:dyDescent="0.3">
      <c r="A2521" s="335">
        <v>42871</v>
      </c>
      <c r="B2521">
        <v>173.57311999999999</v>
      </c>
      <c r="C2521" s="334">
        <f t="shared" si="39"/>
        <v>2.9277145611563232E-2</v>
      </c>
    </row>
    <row r="2522" spans="1:3" x14ac:dyDescent="0.3">
      <c r="A2522" s="335">
        <v>42873</v>
      </c>
      <c r="B2522">
        <v>172.49310299999999</v>
      </c>
      <c r="C2522" s="334">
        <f t="shared" si="39"/>
        <v>-6.222259529586137E-3</v>
      </c>
    </row>
    <row r="2523" spans="1:3" x14ac:dyDescent="0.3">
      <c r="A2523" s="335">
        <v>42874</v>
      </c>
      <c r="B2523">
        <v>176.50457800000001</v>
      </c>
      <c r="C2523" s="334">
        <f t="shared" si="39"/>
        <v>2.3255857366076941E-2</v>
      </c>
    </row>
    <row r="2524" spans="1:3" x14ac:dyDescent="0.3">
      <c r="A2524" s="335">
        <v>42877</v>
      </c>
      <c r="B2524">
        <v>174.19026199999999</v>
      </c>
      <c r="C2524" s="334">
        <f t="shared" si="39"/>
        <v>-1.3111931861620152E-2</v>
      </c>
    </row>
    <row r="2525" spans="1:3" x14ac:dyDescent="0.3">
      <c r="A2525" s="335">
        <v>42878</v>
      </c>
      <c r="B2525">
        <v>176.89030500000001</v>
      </c>
      <c r="C2525" s="334">
        <f t="shared" si="39"/>
        <v>1.550053928961897E-2</v>
      </c>
    </row>
    <row r="2526" spans="1:3" x14ac:dyDescent="0.3">
      <c r="A2526" s="335">
        <v>42879</v>
      </c>
      <c r="B2526">
        <v>173.804565</v>
      </c>
      <c r="C2526" s="334">
        <f t="shared" si="39"/>
        <v>-1.7444370396670496E-2</v>
      </c>
    </row>
    <row r="2527" spans="1:3" x14ac:dyDescent="0.3">
      <c r="A2527" s="335">
        <v>42881</v>
      </c>
      <c r="B2527">
        <v>171.72167999999999</v>
      </c>
      <c r="C2527" s="334">
        <f t="shared" si="39"/>
        <v>-1.1984063824790819E-2</v>
      </c>
    </row>
    <row r="2528" spans="1:3" x14ac:dyDescent="0.3">
      <c r="A2528" s="335">
        <v>42884</v>
      </c>
      <c r="B2528">
        <v>170.25593599999999</v>
      </c>
      <c r="C2528" s="334">
        <f t="shared" si="39"/>
        <v>-8.5355792000171484E-3</v>
      </c>
    </row>
    <row r="2529" spans="1:3" x14ac:dyDescent="0.3">
      <c r="A2529" s="335">
        <v>42885</v>
      </c>
      <c r="B2529">
        <v>173.65026900000001</v>
      </c>
      <c r="C2529" s="334">
        <f t="shared" si="39"/>
        <v>1.9936649962090117E-2</v>
      </c>
    </row>
    <row r="2530" spans="1:3" x14ac:dyDescent="0.3">
      <c r="A2530" s="335">
        <v>42886</v>
      </c>
      <c r="B2530">
        <v>176.42742899999999</v>
      </c>
      <c r="C2530" s="334">
        <f t="shared" si="39"/>
        <v>1.5992834425151283E-2</v>
      </c>
    </row>
    <row r="2531" spans="1:3" x14ac:dyDescent="0.3">
      <c r="A2531" s="335">
        <v>42887</v>
      </c>
      <c r="B2531">
        <v>178.51031499999999</v>
      </c>
      <c r="C2531" s="334">
        <f t="shared" si="39"/>
        <v>1.1805908025786637E-2</v>
      </c>
    </row>
    <row r="2532" spans="1:3" x14ac:dyDescent="0.3">
      <c r="A2532" s="335">
        <v>42888</v>
      </c>
      <c r="B2532">
        <v>180.28460699999999</v>
      </c>
      <c r="C2532" s="334">
        <f t="shared" si="39"/>
        <v>9.9394368331040296E-3</v>
      </c>
    </row>
    <row r="2533" spans="1:3" x14ac:dyDescent="0.3">
      <c r="A2533" s="335">
        <v>42892</v>
      </c>
      <c r="B2533">
        <v>180.51603700000001</v>
      </c>
      <c r="C2533" s="334">
        <f t="shared" si="39"/>
        <v>1.2836925118072746E-3</v>
      </c>
    </row>
    <row r="2534" spans="1:3" x14ac:dyDescent="0.3">
      <c r="A2534" s="335">
        <v>42893</v>
      </c>
      <c r="B2534">
        <v>180.922607</v>
      </c>
      <c r="C2534" s="334">
        <f t="shared" si="39"/>
        <v>2.2522652654954302E-3</v>
      </c>
    </row>
    <row r="2535" spans="1:3" x14ac:dyDescent="0.3">
      <c r="A2535" s="335">
        <v>42894</v>
      </c>
      <c r="B2535">
        <v>181.97970599999999</v>
      </c>
      <c r="C2535" s="334">
        <f t="shared" si="39"/>
        <v>5.8428242745805327E-3</v>
      </c>
    </row>
    <row r="2536" spans="1:3" x14ac:dyDescent="0.3">
      <c r="A2536" s="335">
        <v>42895</v>
      </c>
      <c r="B2536">
        <v>179.62159700000001</v>
      </c>
      <c r="C2536" s="334">
        <f t="shared" si="39"/>
        <v>-1.2958087755125754E-2</v>
      </c>
    </row>
    <row r="2537" spans="1:3" x14ac:dyDescent="0.3">
      <c r="A2537" s="335">
        <v>42898</v>
      </c>
      <c r="B2537">
        <v>179.86552399999999</v>
      </c>
      <c r="C2537" s="334">
        <f t="shared" si="39"/>
        <v>1.3580048506081656E-3</v>
      </c>
    </row>
    <row r="2538" spans="1:3" x14ac:dyDescent="0.3">
      <c r="A2538" s="335">
        <v>42899</v>
      </c>
      <c r="B2538">
        <v>173.360443</v>
      </c>
      <c r="C2538" s="334">
        <f t="shared" si="39"/>
        <v>-3.6166358373381162E-2</v>
      </c>
    </row>
    <row r="2539" spans="1:3" x14ac:dyDescent="0.3">
      <c r="A2539" s="335">
        <v>42900</v>
      </c>
      <c r="B2539">
        <v>173.92965699999999</v>
      </c>
      <c r="C2539" s="334">
        <f t="shared" si="39"/>
        <v>3.28341339090826E-3</v>
      </c>
    </row>
    <row r="2540" spans="1:3" x14ac:dyDescent="0.3">
      <c r="A2540" s="335">
        <v>42901</v>
      </c>
      <c r="B2540">
        <v>172.38468900000001</v>
      </c>
      <c r="C2540" s="334">
        <f t="shared" si="39"/>
        <v>-8.8827174539876375E-3</v>
      </c>
    </row>
    <row r="2541" spans="1:3" x14ac:dyDescent="0.3">
      <c r="A2541" s="335">
        <v>42902</v>
      </c>
      <c r="B2541">
        <v>174.82409699999999</v>
      </c>
      <c r="C2541" s="334">
        <f t="shared" si="39"/>
        <v>1.4150955135000335E-2</v>
      </c>
    </row>
    <row r="2542" spans="1:3" x14ac:dyDescent="0.3">
      <c r="A2542" s="335">
        <v>42905</v>
      </c>
      <c r="B2542">
        <v>173.360443</v>
      </c>
      <c r="C2542" s="334">
        <f t="shared" si="39"/>
        <v>-8.3721524956596304E-3</v>
      </c>
    </row>
    <row r="2543" spans="1:3" x14ac:dyDescent="0.3">
      <c r="A2543" s="335">
        <v>42906</v>
      </c>
      <c r="B2543">
        <v>183.84991500000001</v>
      </c>
      <c r="C2543" s="334">
        <f t="shared" si="39"/>
        <v>6.0506721247822415E-2</v>
      </c>
    </row>
    <row r="2544" spans="1:3" x14ac:dyDescent="0.3">
      <c r="A2544" s="335">
        <v>42907</v>
      </c>
      <c r="B2544">
        <v>179.05239900000001</v>
      </c>
      <c r="C2544" s="334">
        <f t="shared" si="39"/>
        <v>-2.6094741463437727E-2</v>
      </c>
    </row>
    <row r="2545" spans="1:3" x14ac:dyDescent="0.3">
      <c r="A2545" s="335">
        <v>42908</v>
      </c>
      <c r="B2545">
        <v>178.401871</v>
      </c>
      <c r="C2545" s="334">
        <f t="shared" si="39"/>
        <v>-3.6331710919997695E-3</v>
      </c>
    </row>
    <row r="2546" spans="1:3" x14ac:dyDescent="0.3">
      <c r="A2546" s="335">
        <v>42909</v>
      </c>
      <c r="B2546">
        <v>177.914017</v>
      </c>
      <c r="C2546" s="334">
        <f t="shared" si="39"/>
        <v>-2.7345789439618528E-3</v>
      </c>
    </row>
    <row r="2547" spans="1:3" x14ac:dyDescent="0.3">
      <c r="A2547" s="335">
        <v>42912</v>
      </c>
      <c r="B2547">
        <v>176.45036300000001</v>
      </c>
      <c r="C2547" s="334">
        <f t="shared" si="39"/>
        <v>-8.2267492167297368E-3</v>
      </c>
    </row>
    <row r="2548" spans="1:3" x14ac:dyDescent="0.3">
      <c r="A2548" s="335">
        <v>42913</v>
      </c>
      <c r="B2548">
        <v>168.48165900000001</v>
      </c>
      <c r="C2548" s="334">
        <f t="shared" si="39"/>
        <v>-4.5161165239427717E-2</v>
      </c>
    </row>
    <row r="2549" spans="1:3" x14ac:dyDescent="0.3">
      <c r="A2549" s="335">
        <v>42914</v>
      </c>
      <c r="B2549">
        <v>168.56295800000001</v>
      </c>
      <c r="C2549" s="334">
        <f t="shared" si="39"/>
        <v>4.8253917062866374E-4</v>
      </c>
    </row>
    <row r="2550" spans="1:3" x14ac:dyDescent="0.3">
      <c r="A2550" s="335">
        <v>42915</v>
      </c>
      <c r="B2550">
        <v>164.009399</v>
      </c>
      <c r="C2550" s="334">
        <f t="shared" si="39"/>
        <v>-2.7013995565977233E-2</v>
      </c>
    </row>
    <row r="2551" spans="1:3" x14ac:dyDescent="0.3">
      <c r="A2551" s="335">
        <v>42916</v>
      </c>
      <c r="B2551">
        <v>168.40033</v>
      </c>
      <c r="C2551" s="334">
        <f t="shared" si="39"/>
        <v>2.6772435157816746E-2</v>
      </c>
    </row>
    <row r="2552" spans="1:3" x14ac:dyDescent="0.3">
      <c r="A2552" s="335">
        <v>42919</v>
      </c>
      <c r="B2552">
        <v>164.903839</v>
      </c>
      <c r="C2552" s="334">
        <f t="shared" si="39"/>
        <v>-2.076297000130577E-2</v>
      </c>
    </row>
    <row r="2553" spans="1:3" x14ac:dyDescent="0.3">
      <c r="A2553" s="335">
        <v>42920</v>
      </c>
      <c r="B2553">
        <v>165.39172400000001</v>
      </c>
      <c r="C2553" s="334">
        <f t="shared" si="39"/>
        <v>2.9586030438018222E-3</v>
      </c>
    </row>
    <row r="2554" spans="1:3" x14ac:dyDescent="0.3">
      <c r="A2554" s="335">
        <v>42921</v>
      </c>
      <c r="B2554">
        <v>166.12354999999999</v>
      </c>
      <c r="C2554" s="334">
        <f t="shared" si="39"/>
        <v>4.4248042302284961E-3</v>
      </c>
    </row>
    <row r="2555" spans="1:3" x14ac:dyDescent="0.3">
      <c r="A2555" s="335">
        <v>42922</v>
      </c>
      <c r="B2555">
        <v>163.03362999999999</v>
      </c>
      <c r="C2555" s="334">
        <f t="shared" si="39"/>
        <v>-1.8600132250966264E-2</v>
      </c>
    </row>
    <row r="2556" spans="1:3" x14ac:dyDescent="0.3">
      <c r="A2556" s="335">
        <v>42923</v>
      </c>
      <c r="B2556">
        <v>164.172012</v>
      </c>
      <c r="C2556" s="334">
        <f t="shared" si="39"/>
        <v>6.9824980281676064E-3</v>
      </c>
    </row>
    <row r="2557" spans="1:3" x14ac:dyDescent="0.3">
      <c r="A2557" s="335">
        <v>42926</v>
      </c>
      <c r="B2557">
        <v>166.53012100000001</v>
      </c>
      <c r="C2557" s="334">
        <f t="shared" si="39"/>
        <v>1.4363648049827234E-2</v>
      </c>
    </row>
    <row r="2558" spans="1:3" x14ac:dyDescent="0.3">
      <c r="A2558" s="335">
        <v>42927</v>
      </c>
      <c r="B2558">
        <v>160.67553699999999</v>
      </c>
      <c r="C2558" s="334">
        <f t="shared" si="39"/>
        <v>-3.5156306647972813E-2</v>
      </c>
    </row>
    <row r="2559" spans="1:3" x14ac:dyDescent="0.3">
      <c r="A2559" s="335">
        <v>42928</v>
      </c>
      <c r="B2559">
        <v>164.09071399999999</v>
      </c>
      <c r="C2559" s="334">
        <f t="shared" si="39"/>
        <v>2.1255114896550804E-2</v>
      </c>
    </row>
    <row r="2560" spans="1:3" x14ac:dyDescent="0.3">
      <c r="A2560" s="335">
        <v>42929</v>
      </c>
      <c r="B2560">
        <v>164.09071399999999</v>
      </c>
      <c r="C2560" s="334">
        <f t="shared" si="39"/>
        <v>0</v>
      </c>
    </row>
    <row r="2561" spans="1:3" x14ac:dyDescent="0.3">
      <c r="A2561" s="335">
        <v>42930</v>
      </c>
      <c r="B2561">
        <v>161.65129099999999</v>
      </c>
      <c r="C2561" s="334">
        <f t="shared" si="39"/>
        <v>-1.4866307425537835E-2</v>
      </c>
    </row>
    <row r="2562" spans="1:3" x14ac:dyDescent="0.3">
      <c r="A2562" s="335">
        <v>42933</v>
      </c>
      <c r="B2562">
        <v>162.62706</v>
      </c>
      <c r="C2562" s="334">
        <f t="shared" si="39"/>
        <v>6.0362586278386969E-3</v>
      </c>
    </row>
    <row r="2563" spans="1:3" x14ac:dyDescent="0.3">
      <c r="A2563" s="335">
        <v>42934</v>
      </c>
      <c r="B2563">
        <v>162.789703</v>
      </c>
      <c r="C2563" s="334">
        <f t="shared" si="39"/>
        <v>1.0000980156685041E-3</v>
      </c>
    </row>
    <row r="2564" spans="1:3" x14ac:dyDescent="0.3">
      <c r="A2564" s="335">
        <v>42935</v>
      </c>
      <c r="B2564">
        <v>164.009399</v>
      </c>
      <c r="C2564" s="334">
        <f t="shared" si="39"/>
        <v>7.492464065740073E-3</v>
      </c>
    </row>
    <row r="2565" spans="1:3" x14ac:dyDescent="0.3">
      <c r="A2565" s="335">
        <v>42936</v>
      </c>
      <c r="B2565">
        <v>166.286179</v>
      </c>
      <c r="C2565" s="334">
        <f t="shared" si="39"/>
        <v>1.3882009286553159E-2</v>
      </c>
    </row>
    <row r="2566" spans="1:3" x14ac:dyDescent="0.3">
      <c r="A2566" s="335">
        <v>42937</v>
      </c>
      <c r="B2566">
        <v>159.53713999999999</v>
      </c>
      <c r="C2566" s="334">
        <f t="shared" ref="C2566:C2629" si="40">(B2566-B2565)/B2565</f>
        <v>-4.0586890868422744E-2</v>
      </c>
    </row>
    <row r="2567" spans="1:3" x14ac:dyDescent="0.3">
      <c r="A2567" s="335">
        <v>42940</v>
      </c>
      <c r="B2567">
        <v>160.919479</v>
      </c>
      <c r="C2567" s="334">
        <f t="shared" si="40"/>
        <v>8.6646845994606762E-3</v>
      </c>
    </row>
    <row r="2568" spans="1:3" x14ac:dyDescent="0.3">
      <c r="A2568" s="335">
        <v>42941</v>
      </c>
      <c r="B2568">
        <v>163.19627399999999</v>
      </c>
      <c r="C2568" s="334">
        <f t="shared" si="40"/>
        <v>1.4148660026422238E-2</v>
      </c>
    </row>
    <row r="2569" spans="1:3" x14ac:dyDescent="0.3">
      <c r="A2569" s="335">
        <v>42942</v>
      </c>
      <c r="B2569">
        <v>169.29478499999999</v>
      </c>
      <c r="C2569" s="334">
        <f t="shared" si="40"/>
        <v>3.736918037724319E-2</v>
      </c>
    </row>
    <row r="2570" spans="1:3" x14ac:dyDescent="0.3">
      <c r="A2570" s="335">
        <v>42943</v>
      </c>
      <c r="B2570">
        <v>166.69274899999999</v>
      </c>
      <c r="C2570" s="334">
        <f t="shared" si="40"/>
        <v>-1.5369853241492338E-2</v>
      </c>
    </row>
    <row r="2571" spans="1:3" x14ac:dyDescent="0.3">
      <c r="A2571" s="335">
        <v>42944</v>
      </c>
      <c r="B2571">
        <v>166.042236</v>
      </c>
      <c r="C2571" s="334">
        <f t="shared" si="40"/>
        <v>-3.9024672872842807E-3</v>
      </c>
    </row>
    <row r="2572" spans="1:3" x14ac:dyDescent="0.3">
      <c r="A2572" s="335">
        <v>42947</v>
      </c>
      <c r="B2572">
        <v>166.286179</v>
      </c>
      <c r="C2572" s="334">
        <f t="shared" si="40"/>
        <v>1.4691623401168938E-3</v>
      </c>
    </row>
    <row r="2573" spans="1:3" x14ac:dyDescent="0.3">
      <c r="A2573" s="335">
        <v>42948</v>
      </c>
      <c r="B2573">
        <v>169.94528199999999</v>
      </c>
      <c r="C2573" s="334">
        <f t="shared" si="40"/>
        <v>2.200485345207185E-2</v>
      </c>
    </row>
    <row r="2574" spans="1:3" x14ac:dyDescent="0.3">
      <c r="A2574" s="335">
        <v>42949</v>
      </c>
      <c r="B2574">
        <v>170.75842299999999</v>
      </c>
      <c r="C2574" s="334">
        <f t="shared" si="40"/>
        <v>4.7847224143592387E-3</v>
      </c>
    </row>
    <row r="2575" spans="1:3" x14ac:dyDescent="0.3">
      <c r="A2575" s="335">
        <v>42950</v>
      </c>
      <c r="B2575">
        <v>174.41752600000001</v>
      </c>
      <c r="C2575" s="334">
        <f t="shared" si="40"/>
        <v>2.1428535914740886E-2</v>
      </c>
    </row>
    <row r="2576" spans="1:3" x14ac:dyDescent="0.3">
      <c r="A2576" s="335">
        <v>42951</v>
      </c>
      <c r="B2576">
        <v>178.401871</v>
      </c>
      <c r="C2576" s="334">
        <f t="shared" si="40"/>
        <v>2.2843719271651578E-2</v>
      </c>
    </row>
    <row r="2577" spans="1:3" x14ac:dyDescent="0.3">
      <c r="A2577" s="335">
        <v>42954</v>
      </c>
      <c r="B2577">
        <v>175.31196600000001</v>
      </c>
      <c r="C2577" s="334">
        <f t="shared" si="40"/>
        <v>-1.7319913645972847E-2</v>
      </c>
    </row>
    <row r="2578" spans="1:3" x14ac:dyDescent="0.3">
      <c r="A2578" s="335">
        <v>42955</v>
      </c>
      <c r="B2578">
        <v>176.45036300000001</v>
      </c>
      <c r="C2578" s="334">
        <f t="shared" si="40"/>
        <v>6.4935499040607277E-3</v>
      </c>
    </row>
    <row r="2579" spans="1:3" x14ac:dyDescent="0.3">
      <c r="A2579" s="335">
        <v>42956</v>
      </c>
      <c r="B2579">
        <v>177.26350400000001</v>
      </c>
      <c r="C2579" s="334">
        <f t="shared" si="40"/>
        <v>4.6083271588395749E-3</v>
      </c>
    </row>
    <row r="2580" spans="1:3" x14ac:dyDescent="0.3">
      <c r="A2580" s="335">
        <v>42957</v>
      </c>
      <c r="B2580">
        <v>176.36904899999999</v>
      </c>
      <c r="C2580" s="334">
        <f t="shared" si="40"/>
        <v>-5.0459061217701185E-3</v>
      </c>
    </row>
    <row r="2581" spans="1:3" x14ac:dyDescent="0.3">
      <c r="A2581" s="335">
        <v>42958</v>
      </c>
      <c r="B2581">
        <v>174.09227000000001</v>
      </c>
      <c r="C2581" s="334">
        <f t="shared" si="40"/>
        <v>-1.2909175464227721E-2</v>
      </c>
    </row>
    <row r="2582" spans="1:3" x14ac:dyDescent="0.3">
      <c r="A2582" s="335">
        <v>42961</v>
      </c>
      <c r="B2582">
        <v>177.426132</v>
      </c>
      <c r="C2582" s="334">
        <f t="shared" si="40"/>
        <v>1.9149971449048151E-2</v>
      </c>
    </row>
    <row r="2583" spans="1:3" x14ac:dyDescent="0.3">
      <c r="A2583" s="335">
        <v>42962</v>
      </c>
      <c r="B2583">
        <v>176.856934</v>
      </c>
      <c r="C2583" s="334">
        <f t="shared" si="40"/>
        <v>-3.2080843649344736E-3</v>
      </c>
    </row>
    <row r="2584" spans="1:3" x14ac:dyDescent="0.3">
      <c r="A2584" s="335">
        <v>42963</v>
      </c>
      <c r="B2584">
        <v>182.46757500000001</v>
      </c>
      <c r="C2584" s="334">
        <f t="shared" si="40"/>
        <v>3.1724178821283963E-2</v>
      </c>
    </row>
    <row r="2585" spans="1:3" x14ac:dyDescent="0.3">
      <c r="A2585" s="335">
        <v>42964</v>
      </c>
      <c r="B2585">
        <v>179.78424100000001</v>
      </c>
      <c r="C2585" s="334">
        <f t="shared" si="40"/>
        <v>-1.4705812799890621E-2</v>
      </c>
    </row>
    <row r="2586" spans="1:3" x14ac:dyDescent="0.3">
      <c r="A2586" s="335">
        <v>42965</v>
      </c>
      <c r="B2586">
        <v>181.57311999999999</v>
      </c>
      <c r="C2586" s="334">
        <f t="shared" si="40"/>
        <v>9.9501435167500592E-3</v>
      </c>
    </row>
    <row r="2587" spans="1:3" x14ac:dyDescent="0.3">
      <c r="A2587" s="335">
        <v>42968</v>
      </c>
      <c r="B2587">
        <v>185.72010800000001</v>
      </c>
      <c r="C2587" s="334">
        <f t="shared" si="40"/>
        <v>2.283921761106502E-2</v>
      </c>
    </row>
    <row r="2588" spans="1:3" x14ac:dyDescent="0.3">
      <c r="A2588" s="335">
        <v>42969</v>
      </c>
      <c r="B2588">
        <v>184.66305500000001</v>
      </c>
      <c r="C2588" s="334">
        <f t="shared" si="40"/>
        <v>-5.6916454086920745E-3</v>
      </c>
    </row>
    <row r="2589" spans="1:3" x14ac:dyDescent="0.3">
      <c r="A2589" s="335">
        <v>42970</v>
      </c>
      <c r="B2589">
        <v>182.63020299999999</v>
      </c>
      <c r="C2589" s="334">
        <f t="shared" si="40"/>
        <v>-1.1008439127144406E-2</v>
      </c>
    </row>
    <row r="2590" spans="1:3" x14ac:dyDescent="0.3">
      <c r="A2590" s="335">
        <v>42971</v>
      </c>
      <c r="B2590">
        <v>181.00393700000001</v>
      </c>
      <c r="C2590" s="334">
        <f t="shared" si="40"/>
        <v>-8.9046936009811416E-3</v>
      </c>
    </row>
    <row r="2591" spans="1:3" x14ac:dyDescent="0.3">
      <c r="A2591" s="335">
        <v>42972</v>
      </c>
      <c r="B2591">
        <v>179.946854</v>
      </c>
      <c r="C2591" s="334">
        <f t="shared" si="40"/>
        <v>-5.8401105385901394E-3</v>
      </c>
    </row>
    <row r="2592" spans="1:3" x14ac:dyDescent="0.3">
      <c r="A2592" s="335">
        <v>42975</v>
      </c>
      <c r="B2592">
        <v>181.247849</v>
      </c>
      <c r="C2592" s="334">
        <f t="shared" si="40"/>
        <v>7.2298846636129595E-3</v>
      </c>
    </row>
    <row r="2593" spans="1:3" x14ac:dyDescent="0.3">
      <c r="A2593" s="335">
        <v>42976</v>
      </c>
      <c r="B2593">
        <v>178.401871</v>
      </c>
      <c r="C2593" s="334">
        <f t="shared" si="40"/>
        <v>-1.5702133932634987E-2</v>
      </c>
    </row>
    <row r="2594" spans="1:3" x14ac:dyDescent="0.3">
      <c r="A2594" s="335">
        <v>42977</v>
      </c>
      <c r="B2594">
        <v>179.296356</v>
      </c>
      <c r="C2594" s="334">
        <f t="shared" si="40"/>
        <v>5.0138767883213687E-3</v>
      </c>
    </row>
    <row r="2595" spans="1:3" x14ac:dyDescent="0.3">
      <c r="A2595" s="335">
        <v>42978</v>
      </c>
      <c r="B2595">
        <v>182.95545999999999</v>
      </c>
      <c r="C2595" s="334">
        <f t="shared" si="40"/>
        <v>2.0408133671160528E-2</v>
      </c>
    </row>
    <row r="2596" spans="1:3" x14ac:dyDescent="0.3">
      <c r="A2596" s="335">
        <v>42979</v>
      </c>
      <c r="B2596">
        <v>182.54887400000001</v>
      </c>
      <c r="C2596" s="334">
        <f t="shared" si="40"/>
        <v>-2.2223223072980491E-3</v>
      </c>
    </row>
    <row r="2597" spans="1:3" x14ac:dyDescent="0.3">
      <c r="A2597" s="335">
        <v>42982</v>
      </c>
      <c r="B2597">
        <v>182.95545999999999</v>
      </c>
      <c r="C2597" s="334">
        <f t="shared" si="40"/>
        <v>2.2272720236005176E-3</v>
      </c>
    </row>
    <row r="2598" spans="1:3" x14ac:dyDescent="0.3">
      <c r="A2598" s="335">
        <v>42983</v>
      </c>
      <c r="B2598">
        <v>188.728714</v>
      </c>
      <c r="C2598" s="334">
        <f t="shared" si="40"/>
        <v>3.1555516298885034E-2</v>
      </c>
    </row>
    <row r="2599" spans="1:3" x14ac:dyDescent="0.3">
      <c r="A2599" s="335">
        <v>42984</v>
      </c>
      <c r="B2599">
        <v>186.61454800000001</v>
      </c>
      <c r="C2599" s="334">
        <f t="shared" si="40"/>
        <v>-1.120214277515812E-2</v>
      </c>
    </row>
    <row r="2600" spans="1:3" x14ac:dyDescent="0.3">
      <c r="A2600" s="335">
        <v>42985</v>
      </c>
      <c r="B2600">
        <v>184.98829699999999</v>
      </c>
      <c r="C2600" s="334">
        <f t="shared" si="40"/>
        <v>-8.714492077005833E-3</v>
      </c>
    </row>
    <row r="2601" spans="1:3" x14ac:dyDescent="0.3">
      <c r="A2601" s="335">
        <v>42986</v>
      </c>
      <c r="B2601">
        <v>183.36201500000001</v>
      </c>
      <c r="C2601" s="334">
        <f t="shared" si="40"/>
        <v>-8.7912696444790508E-3</v>
      </c>
    </row>
    <row r="2602" spans="1:3" x14ac:dyDescent="0.3">
      <c r="A2602" s="335">
        <v>42989</v>
      </c>
      <c r="B2602">
        <v>186.777176</v>
      </c>
      <c r="C2602" s="334">
        <f t="shared" si="40"/>
        <v>1.8625237075410538E-2</v>
      </c>
    </row>
    <row r="2603" spans="1:3" x14ac:dyDescent="0.3">
      <c r="A2603" s="335">
        <v>42990</v>
      </c>
      <c r="B2603">
        <v>185.964035</v>
      </c>
      <c r="C2603" s="334">
        <f t="shared" si="40"/>
        <v>-4.3535351450008095E-3</v>
      </c>
    </row>
    <row r="2604" spans="1:3" x14ac:dyDescent="0.3">
      <c r="A2604" s="335">
        <v>42991</v>
      </c>
      <c r="B2604">
        <v>187.42770400000001</v>
      </c>
      <c r="C2604" s="334">
        <f t="shared" si="40"/>
        <v>7.8707100542317766E-3</v>
      </c>
    </row>
    <row r="2605" spans="1:3" x14ac:dyDescent="0.3">
      <c r="A2605" s="335">
        <v>42992</v>
      </c>
      <c r="B2605">
        <v>184.90696700000001</v>
      </c>
      <c r="C2605" s="334">
        <f t="shared" si="40"/>
        <v>-1.3449116359020205E-2</v>
      </c>
    </row>
    <row r="2606" spans="1:3" x14ac:dyDescent="0.3">
      <c r="A2606" s="335">
        <v>42993</v>
      </c>
      <c r="B2606">
        <v>185.232224</v>
      </c>
      <c r="C2606" s="334">
        <f t="shared" si="40"/>
        <v>1.7590305291200492E-3</v>
      </c>
    </row>
    <row r="2607" spans="1:3" x14ac:dyDescent="0.3">
      <c r="A2607" s="335">
        <v>42996</v>
      </c>
      <c r="B2607">
        <v>184.41909799999999</v>
      </c>
      <c r="C2607" s="334">
        <f t="shared" si="40"/>
        <v>-4.3897653574575179E-3</v>
      </c>
    </row>
    <row r="2608" spans="1:3" x14ac:dyDescent="0.3">
      <c r="A2608" s="335">
        <v>42997</v>
      </c>
      <c r="B2608">
        <v>185.72010800000001</v>
      </c>
      <c r="C2608" s="334">
        <f t="shared" si="40"/>
        <v>7.0546381264700656E-3</v>
      </c>
    </row>
    <row r="2609" spans="1:3" x14ac:dyDescent="0.3">
      <c r="A2609" s="335">
        <v>42998</v>
      </c>
      <c r="B2609">
        <v>184.58171100000001</v>
      </c>
      <c r="C2609" s="334">
        <f t="shared" si="40"/>
        <v>-6.129637831138875E-3</v>
      </c>
    </row>
    <row r="2610" spans="1:3" x14ac:dyDescent="0.3">
      <c r="A2610" s="335">
        <v>42999</v>
      </c>
      <c r="B2610">
        <v>181.410492</v>
      </c>
      <c r="C2610" s="334">
        <f t="shared" si="40"/>
        <v>-1.7180569964485852E-2</v>
      </c>
    </row>
    <row r="2611" spans="1:3" x14ac:dyDescent="0.3">
      <c r="A2611" s="335">
        <v>43000</v>
      </c>
      <c r="B2611">
        <v>183.93119799999999</v>
      </c>
      <c r="C2611" s="334">
        <f t="shared" si="40"/>
        <v>1.389503976429318E-2</v>
      </c>
    </row>
    <row r="2612" spans="1:3" x14ac:dyDescent="0.3">
      <c r="A2612" s="335">
        <v>43003</v>
      </c>
      <c r="B2612">
        <v>184.41909799999999</v>
      </c>
      <c r="C2612" s="334">
        <f t="shared" si="40"/>
        <v>2.6526223136979525E-3</v>
      </c>
    </row>
    <row r="2613" spans="1:3" x14ac:dyDescent="0.3">
      <c r="A2613" s="335">
        <v>43004</v>
      </c>
      <c r="B2613">
        <v>180.43472299999999</v>
      </c>
      <c r="C2613" s="334">
        <f t="shared" si="40"/>
        <v>-2.1605002102331072E-2</v>
      </c>
    </row>
    <row r="2614" spans="1:3" x14ac:dyDescent="0.3">
      <c r="A2614" s="335">
        <v>43005</v>
      </c>
      <c r="B2614">
        <v>177.83268699999999</v>
      </c>
      <c r="C2614" s="334">
        <f t="shared" si="40"/>
        <v>-1.4420927173756896E-2</v>
      </c>
    </row>
    <row r="2615" spans="1:3" x14ac:dyDescent="0.3">
      <c r="A2615" s="335">
        <v>43006</v>
      </c>
      <c r="B2615">
        <v>181.00393700000001</v>
      </c>
      <c r="C2615" s="334">
        <f t="shared" si="40"/>
        <v>1.7832773341607412E-2</v>
      </c>
    </row>
    <row r="2616" spans="1:3" x14ac:dyDescent="0.3">
      <c r="A2616" s="335">
        <v>43007</v>
      </c>
      <c r="B2616">
        <v>182.95545999999999</v>
      </c>
      <c r="C2616" s="334">
        <f t="shared" si="40"/>
        <v>1.0781660511616277E-2</v>
      </c>
    </row>
    <row r="2617" spans="1:3" x14ac:dyDescent="0.3">
      <c r="A2617" s="335">
        <v>43010</v>
      </c>
      <c r="B2617">
        <v>184.41909799999999</v>
      </c>
      <c r="C2617" s="334">
        <f t="shared" si="40"/>
        <v>7.9999689541924747E-3</v>
      </c>
    </row>
    <row r="2618" spans="1:3" x14ac:dyDescent="0.3">
      <c r="A2618" s="335">
        <v>43011</v>
      </c>
      <c r="B2618">
        <v>189.867096</v>
      </c>
      <c r="C2618" s="334">
        <f t="shared" si="40"/>
        <v>2.9541398147387168E-2</v>
      </c>
    </row>
    <row r="2619" spans="1:3" x14ac:dyDescent="0.3">
      <c r="A2619" s="335">
        <v>43012</v>
      </c>
      <c r="B2619">
        <v>190.84288000000001</v>
      </c>
      <c r="C2619" s="334">
        <f t="shared" si="40"/>
        <v>5.1393001765824894E-3</v>
      </c>
    </row>
    <row r="2620" spans="1:3" x14ac:dyDescent="0.3">
      <c r="A2620" s="335">
        <v>43013</v>
      </c>
      <c r="B2620">
        <v>191.981247</v>
      </c>
      <c r="C2620" s="334">
        <f t="shared" si="40"/>
        <v>5.9649435179346911E-3</v>
      </c>
    </row>
    <row r="2621" spans="1:3" x14ac:dyDescent="0.3">
      <c r="A2621" s="335">
        <v>43014</v>
      </c>
      <c r="B2621">
        <v>187.99688699999999</v>
      </c>
      <c r="C2621" s="334">
        <f t="shared" si="40"/>
        <v>-2.0753902072529039E-2</v>
      </c>
    </row>
    <row r="2622" spans="1:3" x14ac:dyDescent="0.3">
      <c r="A2622" s="335">
        <v>43017</v>
      </c>
      <c r="B2622">
        <v>188.89134200000001</v>
      </c>
      <c r="C2622" s="334">
        <f t="shared" si="40"/>
        <v>4.7578181440845989E-3</v>
      </c>
    </row>
    <row r="2623" spans="1:3" x14ac:dyDescent="0.3">
      <c r="A2623" s="335">
        <v>43018</v>
      </c>
      <c r="B2623">
        <v>196.046921</v>
      </c>
      <c r="C2623" s="334">
        <f t="shared" si="40"/>
        <v>3.788198508325484E-2</v>
      </c>
    </row>
    <row r="2624" spans="1:3" x14ac:dyDescent="0.3">
      <c r="A2624" s="335">
        <v>43019</v>
      </c>
      <c r="B2624">
        <v>195.15248099999999</v>
      </c>
      <c r="C2624" s="334">
        <f t="shared" si="40"/>
        <v>-4.5623771872448995E-3</v>
      </c>
    </row>
    <row r="2625" spans="1:3" x14ac:dyDescent="0.3">
      <c r="A2625" s="335">
        <v>43020</v>
      </c>
      <c r="B2625">
        <v>197.83583100000001</v>
      </c>
      <c r="C2625" s="334">
        <f t="shared" si="40"/>
        <v>1.3750017351816392E-2</v>
      </c>
    </row>
    <row r="2626" spans="1:3" x14ac:dyDescent="0.3">
      <c r="A2626" s="335">
        <v>43021</v>
      </c>
      <c r="B2626">
        <v>199.29948400000001</v>
      </c>
      <c r="C2626" s="334">
        <f t="shared" si="40"/>
        <v>7.3983210857288713E-3</v>
      </c>
    </row>
    <row r="2627" spans="1:3" x14ac:dyDescent="0.3">
      <c r="A2627" s="335">
        <v>43024</v>
      </c>
      <c r="B2627">
        <v>197.754501</v>
      </c>
      <c r="C2627" s="334">
        <f t="shared" si="40"/>
        <v>-7.7520672356582816E-3</v>
      </c>
    </row>
    <row r="2628" spans="1:3" x14ac:dyDescent="0.3">
      <c r="A2628" s="335">
        <v>43025</v>
      </c>
      <c r="B2628">
        <v>199.29948400000001</v>
      </c>
      <c r="C2628" s="334">
        <f t="shared" si="40"/>
        <v>7.8126312786175323E-3</v>
      </c>
    </row>
    <row r="2629" spans="1:3" x14ac:dyDescent="0.3">
      <c r="A2629" s="335">
        <v>43026</v>
      </c>
      <c r="B2629">
        <v>200.60047900000001</v>
      </c>
      <c r="C2629" s="334">
        <f t="shared" si="40"/>
        <v>6.5278392793029025E-3</v>
      </c>
    </row>
    <row r="2630" spans="1:3" x14ac:dyDescent="0.3">
      <c r="A2630" s="335">
        <v>43027</v>
      </c>
      <c r="B2630">
        <v>201.98281900000001</v>
      </c>
      <c r="C2630" s="334">
        <f t="shared" ref="C2630:C2693" si="41">(B2630-B2629)/B2629</f>
        <v>6.8910104646360253E-3</v>
      </c>
    </row>
    <row r="2631" spans="1:3" x14ac:dyDescent="0.3">
      <c r="A2631" s="335">
        <v>43028</v>
      </c>
      <c r="B2631">
        <v>203.121216</v>
      </c>
      <c r="C2631" s="334">
        <f t="shared" si="41"/>
        <v>5.6361080889756159E-3</v>
      </c>
    </row>
    <row r="2632" spans="1:3" x14ac:dyDescent="0.3">
      <c r="A2632" s="335">
        <v>43031</v>
      </c>
      <c r="B2632">
        <v>206.86161799999999</v>
      </c>
      <c r="C2632" s="334">
        <f t="shared" si="41"/>
        <v>1.8414629813953007E-2</v>
      </c>
    </row>
    <row r="2633" spans="1:3" x14ac:dyDescent="0.3">
      <c r="A2633" s="335">
        <v>43032</v>
      </c>
      <c r="B2633">
        <v>201.41362000000001</v>
      </c>
      <c r="C2633" s="334">
        <f t="shared" si="41"/>
        <v>-2.6336437144178115E-2</v>
      </c>
    </row>
    <row r="2634" spans="1:3" x14ac:dyDescent="0.3">
      <c r="A2634" s="335">
        <v>43033</v>
      </c>
      <c r="B2634">
        <v>201.41362000000001</v>
      </c>
      <c r="C2634" s="334">
        <f t="shared" si="41"/>
        <v>0</v>
      </c>
    </row>
    <row r="2635" spans="1:3" x14ac:dyDescent="0.3">
      <c r="A2635" s="335">
        <v>43034</v>
      </c>
      <c r="B2635">
        <v>199.624741</v>
      </c>
      <c r="C2635" s="334">
        <f t="shared" si="41"/>
        <v>-8.8816188299480868E-3</v>
      </c>
    </row>
    <row r="2636" spans="1:3" x14ac:dyDescent="0.3">
      <c r="A2636" s="335">
        <v>43035</v>
      </c>
      <c r="B2636">
        <v>199.05552700000001</v>
      </c>
      <c r="C2636" s="334">
        <f t="shared" si="41"/>
        <v>-2.8514201052863889E-3</v>
      </c>
    </row>
    <row r="2637" spans="1:3" x14ac:dyDescent="0.3">
      <c r="A2637" s="335">
        <v>43038</v>
      </c>
      <c r="B2637">
        <v>198.648956</v>
      </c>
      <c r="C2637" s="334">
        <f t="shared" si="41"/>
        <v>-2.0425004325552525E-3</v>
      </c>
    </row>
    <row r="2638" spans="1:3" x14ac:dyDescent="0.3">
      <c r="A2638" s="335">
        <v>43039</v>
      </c>
      <c r="B2638">
        <v>198.16108700000001</v>
      </c>
      <c r="C2638" s="334">
        <f t="shared" si="41"/>
        <v>-2.4559353838234581E-3</v>
      </c>
    </row>
    <row r="2639" spans="1:3" x14ac:dyDescent="0.3">
      <c r="A2639" s="335">
        <v>43040</v>
      </c>
      <c r="B2639">
        <v>198.8116</v>
      </c>
      <c r="C2639" s="334">
        <f t="shared" si="41"/>
        <v>3.2827484439464619E-3</v>
      </c>
    </row>
    <row r="2640" spans="1:3" x14ac:dyDescent="0.3">
      <c r="A2640" s="335">
        <v>43041</v>
      </c>
      <c r="B2640">
        <v>191.086792</v>
      </c>
      <c r="C2640" s="334">
        <f t="shared" si="41"/>
        <v>-3.8854915910339217E-2</v>
      </c>
    </row>
    <row r="2641" spans="1:3" x14ac:dyDescent="0.3">
      <c r="A2641" s="335">
        <v>43042</v>
      </c>
      <c r="B2641">
        <v>193.688828</v>
      </c>
      <c r="C2641" s="334">
        <f t="shared" si="41"/>
        <v>1.3617037435010151E-2</v>
      </c>
    </row>
    <row r="2642" spans="1:3" x14ac:dyDescent="0.3">
      <c r="A2642" s="335">
        <v>43045</v>
      </c>
      <c r="B2642">
        <v>196.209564</v>
      </c>
      <c r="C2642" s="334">
        <f t="shared" si="41"/>
        <v>1.3014359300062466E-2</v>
      </c>
    </row>
    <row r="2643" spans="1:3" x14ac:dyDescent="0.3">
      <c r="A2643" s="335">
        <v>43046</v>
      </c>
      <c r="B2643">
        <v>193.36357100000001</v>
      </c>
      <c r="C2643" s="334">
        <f t="shared" si="41"/>
        <v>-1.4504863789412389E-2</v>
      </c>
    </row>
    <row r="2644" spans="1:3" x14ac:dyDescent="0.3">
      <c r="A2644" s="335">
        <v>43047</v>
      </c>
      <c r="B2644">
        <v>198.242401</v>
      </c>
      <c r="C2644" s="334">
        <f t="shared" si="41"/>
        <v>2.5231381354660611E-2</v>
      </c>
    </row>
    <row r="2645" spans="1:3" x14ac:dyDescent="0.3">
      <c r="A2645" s="335">
        <v>43048</v>
      </c>
      <c r="B2645">
        <v>189.867096</v>
      </c>
      <c r="C2645" s="334">
        <f t="shared" si="41"/>
        <v>-4.2247798441464583E-2</v>
      </c>
    </row>
    <row r="2646" spans="1:3" x14ac:dyDescent="0.3">
      <c r="A2646" s="335">
        <v>43049</v>
      </c>
      <c r="B2646">
        <v>190.43630999999999</v>
      </c>
      <c r="C2646" s="334">
        <f t="shared" si="41"/>
        <v>2.9979602152865291E-3</v>
      </c>
    </row>
    <row r="2647" spans="1:3" x14ac:dyDescent="0.3">
      <c r="A2647" s="335">
        <v>43052</v>
      </c>
      <c r="B2647">
        <v>193.77015700000001</v>
      </c>
      <c r="C2647" s="334">
        <f t="shared" si="41"/>
        <v>1.7506362100799054E-2</v>
      </c>
    </row>
    <row r="2648" spans="1:3" x14ac:dyDescent="0.3">
      <c r="A2648" s="335">
        <v>43053</v>
      </c>
      <c r="B2648">
        <v>190.111053</v>
      </c>
      <c r="C2648" s="334">
        <f t="shared" si="41"/>
        <v>-1.8883733473983887E-2</v>
      </c>
    </row>
    <row r="2649" spans="1:3" x14ac:dyDescent="0.3">
      <c r="A2649" s="335">
        <v>43054</v>
      </c>
      <c r="B2649">
        <v>209.13841199999999</v>
      </c>
      <c r="C2649" s="334">
        <f t="shared" si="41"/>
        <v>0.10008549581806793</v>
      </c>
    </row>
    <row r="2650" spans="1:3" x14ac:dyDescent="0.3">
      <c r="A2650" s="335">
        <v>43055</v>
      </c>
      <c r="B2650">
        <v>210.358124</v>
      </c>
      <c r="C2650" s="334">
        <f t="shared" si="41"/>
        <v>5.8320802397601431E-3</v>
      </c>
    </row>
    <row r="2651" spans="1:3" x14ac:dyDescent="0.3">
      <c r="A2651" s="335">
        <v>43056</v>
      </c>
      <c r="B2651">
        <v>203.20251500000001</v>
      </c>
      <c r="C2651" s="334">
        <f t="shared" si="41"/>
        <v>-3.4016318761237847E-2</v>
      </c>
    </row>
    <row r="2652" spans="1:3" x14ac:dyDescent="0.3">
      <c r="A2652" s="335">
        <v>43059</v>
      </c>
      <c r="B2652">
        <v>207.837402</v>
      </c>
      <c r="C2652" s="334">
        <f t="shared" si="41"/>
        <v>2.2809200958954626E-2</v>
      </c>
    </row>
    <row r="2653" spans="1:3" x14ac:dyDescent="0.3">
      <c r="A2653" s="335">
        <v>43060</v>
      </c>
      <c r="B2653">
        <v>213.85459900000001</v>
      </c>
      <c r="C2653" s="334">
        <f t="shared" si="41"/>
        <v>2.8951463702380241E-2</v>
      </c>
    </row>
    <row r="2654" spans="1:3" x14ac:dyDescent="0.3">
      <c r="A2654" s="335">
        <v>43061</v>
      </c>
      <c r="B2654">
        <v>211.415176</v>
      </c>
      <c r="C2654" s="334">
        <f t="shared" si="41"/>
        <v>-1.1406923261912198E-2</v>
      </c>
    </row>
    <row r="2655" spans="1:3" x14ac:dyDescent="0.3">
      <c r="A2655" s="335">
        <v>43062</v>
      </c>
      <c r="B2655">
        <v>209.38235499999999</v>
      </c>
      <c r="C2655" s="334">
        <f t="shared" si="41"/>
        <v>-9.6153031133394736E-3</v>
      </c>
    </row>
    <row r="2656" spans="1:3" x14ac:dyDescent="0.3">
      <c r="A2656" s="335">
        <v>43063</v>
      </c>
      <c r="B2656">
        <v>199.706039</v>
      </c>
      <c r="C2656" s="334">
        <f t="shared" si="41"/>
        <v>-4.6213617188516132E-2</v>
      </c>
    </row>
    <row r="2657" spans="1:3" x14ac:dyDescent="0.3">
      <c r="A2657" s="335">
        <v>43066</v>
      </c>
      <c r="B2657">
        <v>198.8116</v>
      </c>
      <c r="C2657" s="334">
        <f t="shared" si="41"/>
        <v>-4.4787779301957188E-3</v>
      </c>
    </row>
    <row r="2658" spans="1:3" x14ac:dyDescent="0.3">
      <c r="A2658" s="335">
        <v>43067</v>
      </c>
      <c r="B2658">
        <v>198.16108700000001</v>
      </c>
      <c r="C2658" s="334">
        <f t="shared" si="41"/>
        <v>-3.2720072671815399E-3</v>
      </c>
    </row>
    <row r="2659" spans="1:3" x14ac:dyDescent="0.3">
      <c r="A2659" s="335">
        <v>43068</v>
      </c>
      <c r="B2659">
        <v>193.851471</v>
      </c>
      <c r="C2659" s="334">
        <f t="shared" si="41"/>
        <v>-2.1748043802363705E-2</v>
      </c>
    </row>
    <row r="2660" spans="1:3" x14ac:dyDescent="0.3">
      <c r="A2660" s="335">
        <v>43069</v>
      </c>
      <c r="B2660">
        <v>198.16108700000001</v>
      </c>
      <c r="C2660" s="334">
        <f t="shared" si="41"/>
        <v>2.2231536226000603E-2</v>
      </c>
    </row>
    <row r="2661" spans="1:3" x14ac:dyDescent="0.3">
      <c r="A2661" s="335">
        <v>43070</v>
      </c>
      <c r="B2661">
        <v>197.91712999999999</v>
      </c>
      <c r="C2661" s="334">
        <f t="shared" si="41"/>
        <v>-1.2311044700719827E-3</v>
      </c>
    </row>
    <row r="2662" spans="1:3" x14ac:dyDescent="0.3">
      <c r="A2662" s="335">
        <v>43073</v>
      </c>
      <c r="B2662">
        <v>199.38078300000001</v>
      </c>
      <c r="C2662" s="334">
        <f t="shared" si="41"/>
        <v>7.3952820556766469E-3</v>
      </c>
    </row>
    <row r="2663" spans="1:3" x14ac:dyDescent="0.3">
      <c r="A2663" s="335">
        <v>43074</v>
      </c>
      <c r="B2663">
        <v>201.57624799999999</v>
      </c>
      <c r="C2663" s="334">
        <f t="shared" si="41"/>
        <v>1.1011417283881287E-2</v>
      </c>
    </row>
    <row r="2664" spans="1:3" x14ac:dyDescent="0.3">
      <c r="A2664" s="335">
        <v>43075</v>
      </c>
      <c r="B2664">
        <v>204.74748199999999</v>
      </c>
      <c r="C2664" s="334">
        <f t="shared" si="41"/>
        <v>1.5732180906552037E-2</v>
      </c>
    </row>
    <row r="2665" spans="1:3" x14ac:dyDescent="0.3">
      <c r="A2665" s="335">
        <v>43076</v>
      </c>
      <c r="B2665">
        <v>202.877274</v>
      </c>
      <c r="C2665" s="334">
        <f t="shared" si="41"/>
        <v>-9.1342173380183061E-3</v>
      </c>
    </row>
    <row r="2666" spans="1:3" x14ac:dyDescent="0.3">
      <c r="A2666" s="335">
        <v>43077</v>
      </c>
      <c r="B2666">
        <v>199.86866800000001</v>
      </c>
      <c r="C2666" s="334">
        <f t="shared" si="41"/>
        <v>-1.4829684669363144E-2</v>
      </c>
    </row>
    <row r="2667" spans="1:3" x14ac:dyDescent="0.3">
      <c r="A2667" s="335">
        <v>43080</v>
      </c>
      <c r="B2667">
        <v>200.681793</v>
      </c>
      <c r="C2667" s="334">
        <f t="shared" si="41"/>
        <v>4.0682964875714545E-3</v>
      </c>
    </row>
    <row r="2668" spans="1:3" x14ac:dyDescent="0.3">
      <c r="A2668" s="335">
        <v>43081</v>
      </c>
      <c r="B2668">
        <v>204.503525</v>
      </c>
      <c r="C2668" s="334">
        <f t="shared" si="41"/>
        <v>1.9043740554978983E-2</v>
      </c>
    </row>
    <row r="2669" spans="1:3" x14ac:dyDescent="0.3">
      <c r="A2669" s="335">
        <v>43082</v>
      </c>
      <c r="B2669">
        <v>209.301041</v>
      </c>
      <c r="C2669" s="334">
        <f t="shared" si="41"/>
        <v>2.3459331568979076E-2</v>
      </c>
    </row>
    <row r="2670" spans="1:3" x14ac:dyDescent="0.3">
      <c r="A2670" s="335">
        <v>43083</v>
      </c>
      <c r="B2670">
        <v>201.57624799999999</v>
      </c>
      <c r="C2670" s="334">
        <f t="shared" si="41"/>
        <v>-3.6907570851499039E-2</v>
      </c>
    </row>
    <row r="2671" spans="1:3" x14ac:dyDescent="0.3">
      <c r="A2671" s="335">
        <v>43084</v>
      </c>
      <c r="B2671">
        <v>197.91712999999999</v>
      </c>
      <c r="C2671" s="334">
        <f t="shared" si="41"/>
        <v>-1.815252558922521E-2</v>
      </c>
    </row>
    <row r="2672" spans="1:3" x14ac:dyDescent="0.3">
      <c r="A2672" s="335">
        <v>43087</v>
      </c>
      <c r="B2672">
        <v>198.40502900000001</v>
      </c>
      <c r="C2672" s="334">
        <f t="shared" si="41"/>
        <v>2.4651681236486562E-3</v>
      </c>
    </row>
    <row r="2673" spans="1:3" x14ac:dyDescent="0.3">
      <c r="A2673" s="335">
        <v>43088</v>
      </c>
      <c r="B2673">
        <v>193.932785</v>
      </c>
      <c r="C2673" s="334">
        <f t="shared" si="41"/>
        <v>-2.2540981055475248E-2</v>
      </c>
    </row>
    <row r="2674" spans="1:3" x14ac:dyDescent="0.3">
      <c r="A2674" s="335">
        <v>43089</v>
      </c>
      <c r="B2674">
        <v>189.29789700000001</v>
      </c>
      <c r="C2674" s="334">
        <f t="shared" si="41"/>
        <v>-2.389945567996659E-2</v>
      </c>
    </row>
    <row r="2675" spans="1:3" x14ac:dyDescent="0.3">
      <c r="A2675" s="335">
        <v>43090</v>
      </c>
      <c r="B2675">
        <v>191.574692</v>
      </c>
      <c r="C2675" s="334">
        <f t="shared" si="41"/>
        <v>1.202757683039655E-2</v>
      </c>
    </row>
    <row r="2676" spans="1:3" x14ac:dyDescent="0.3">
      <c r="A2676" s="335">
        <v>43091</v>
      </c>
      <c r="B2676">
        <v>193.44490099999999</v>
      </c>
      <c r="C2676" s="334">
        <f t="shared" si="41"/>
        <v>9.7622967860493213E-3</v>
      </c>
    </row>
    <row r="2677" spans="1:3" x14ac:dyDescent="0.3">
      <c r="A2677" s="335">
        <v>43096</v>
      </c>
      <c r="B2677">
        <v>197.34794600000001</v>
      </c>
      <c r="C2677" s="334">
        <f t="shared" si="41"/>
        <v>2.0176520444961328E-2</v>
      </c>
    </row>
    <row r="2678" spans="1:3" x14ac:dyDescent="0.3">
      <c r="A2678" s="335">
        <v>43097</v>
      </c>
      <c r="B2678">
        <v>200.19392400000001</v>
      </c>
      <c r="C2678" s="334">
        <f t="shared" si="41"/>
        <v>1.4421117917285049E-2</v>
      </c>
    </row>
    <row r="2679" spans="1:3" x14ac:dyDescent="0.3">
      <c r="A2679" s="335">
        <v>43098</v>
      </c>
      <c r="B2679">
        <v>200.681793</v>
      </c>
      <c r="C2679" s="334">
        <f t="shared" si="41"/>
        <v>2.4369820534612687E-3</v>
      </c>
    </row>
    <row r="2680" spans="1:3" x14ac:dyDescent="0.3">
      <c r="A2680" s="335">
        <v>43102</v>
      </c>
      <c r="B2680">
        <v>195.803009</v>
      </c>
      <c r="C2680" s="334">
        <f t="shared" si="41"/>
        <v>-2.4311044500185404E-2</v>
      </c>
    </row>
    <row r="2681" spans="1:3" x14ac:dyDescent="0.3">
      <c r="A2681" s="335">
        <v>43103</v>
      </c>
      <c r="B2681">
        <v>190.92417900000001</v>
      </c>
      <c r="C2681" s="334">
        <f t="shared" si="41"/>
        <v>-2.4917032812299598E-2</v>
      </c>
    </row>
    <row r="2682" spans="1:3" x14ac:dyDescent="0.3">
      <c r="A2682" s="335">
        <v>43104</v>
      </c>
      <c r="B2682">
        <v>194.827225</v>
      </c>
      <c r="C2682" s="334">
        <f t="shared" si="41"/>
        <v>2.0442911005001566E-2</v>
      </c>
    </row>
    <row r="2683" spans="1:3" x14ac:dyDescent="0.3">
      <c r="A2683" s="335">
        <v>43105</v>
      </c>
      <c r="B2683">
        <v>199.218155</v>
      </c>
      <c r="C2683" s="334">
        <f t="shared" si="41"/>
        <v>2.2537558598394025E-2</v>
      </c>
    </row>
    <row r="2684" spans="1:3" x14ac:dyDescent="0.3">
      <c r="A2684" s="335">
        <v>43108</v>
      </c>
      <c r="B2684">
        <v>192.22517400000001</v>
      </c>
      <c r="C2684" s="334">
        <f t="shared" si="41"/>
        <v>-3.5102127112862709E-2</v>
      </c>
    </row>
    <row r="2685" spans="1:3" x14ac:dyDescent="0.3">
      <c r="A2685" s="335">
        <v>43109</v>
      </c>
      <c r="B2685">
        <v>193.688828</v>
      </c>
      <c r="C2685" s="334">
        <f t="shared" si="41"/>
        <v>7.6142680458699498E-3</v>
      </c>
    </row>
    <row r="2686" spans="1:3" x14ac:dyDescent="0.3">
      <c r="A2686" s="335">
        <v>43110</v>
      </c>
      <c r="B2686">
        <v>191.41206399999999</v>
      </c>
      <c r="C2686" s="334">
        <f t="shared" si="41"/>
        <v>-1.1754751285913167E-2</v>
      </c>
    </row>
    <row r="2687" spans="1:3" x14ac:dyDescent="0.3">
      <c r="A2687" s="335">
        <v>43111</v>
      </c>
      <c r="B2687">
        <v>190.59892300000001</v>
      </c>
      <c r="C2687" s="334">
        <f t="shared" si="41"/>
        <v>-4.248117819783675E-3</v>
      </c>
    </row>
    <row r="2688" spans="1:3" x14ac:dyDescent="0.3">
      <c r="A2688" s="335">
        <v>43112</v>
      </c>
      <c r="B2688">
        <v>184.74435399999999</v>
      </c>
      <c r="C2688" s="334">
        <f t="shared" si="41"/>
        <v>-3.0716695078072533E-2</v>
      </c>
    </row>
    <row r="2689" spans="1:3" x14ac:dyDescent="0.3">
      <c r="A2689" s="335">
        <v>43115</v>
      </c>
      <c r="B2689">
        <v>183.60595699999999</v>
      </c>
      <c r="C2689" s="334">
        <f t="shared" si="41"/>
        <v>-6.1620123990365509E-3</v>
      </c>
    </row>
    <row r="2690" spans="1:3" x14ac:dyDescent="0.3">
      <c r="A2690" s="335">
        <v>43116</v>
      </c>
      <c r="B2690">
        <v>182.14231899999999</v>
      </c>
      <c r="C2690" s="334">
        <f t="shared" si="41"/>
        <v>-7.9716258879334902E-3</v>
      </c>
    </row>
    <row r="2691" spans="1:3" x14ac:dyDescent="0.3">
      <c r="A2691" s="335">
        <v>43117</v>
      </c>
      <c r="B2691">
        <v>177.426132</v>
      </c>
      <c r="C2691" s="334">
        <f t="shared" si="41"/>
        <v>-2.5892867873280954E-2</v>
      </c>
    </row>
    <row r="2692" spans="1:3" x14ac:dyDescent="0.3">
      <c r="A2692" s="335">
        <v>43118</v>
      </c>
      <c r="B2692">
        <v>174.98672500000001</v>
      </c>
      <c r="C2692" s="334">
        <f t="shared" si="41"/>
        <v>-1.3748859722647781E-2</v>
      </c>
    </row>
    <row r="2693" spans="1:3" x14ac:dyDescent="0.3">
      <c r="A2693" s="335">
        <v>43119</v>
      </c>
      <c r="B2693">
        <v>175.962479</v>
      </c>
      <c r="C2693" s="334">
        <f t="shared" si="41"/>
        <v>5.5761601344330256E-3</v>
      </c>
    </row>
    <row r="2694" spans="1:3" x14ac:dyDescent="0.3">
      <c r="A2694" s="335">
        <v>43122</v>
      </c>
      <c r="B2694">
        <v>177.426132</v>
      </c>
      <c r="C2694" s="334">
        <f t="shared" ref="C2694:C2757" si="42">(B2694-B2693)/B2693</f>
        <v>8.3179835173838035E-3</v>
      </c>
    </row>
    <row r="2695" spans="1:3" x14ac:dyDescent="0.3">
      <c r="A2695" s="335">
        <v>43123</v>
      </c>
      <c r="B2695">
        <v>176.77560399999999</v>
      </c>
      <c r="C2695" s="334">
        <f t="shared" si="42"/>
        <v>-3.6664723097272305E-3</v>
      </c>
    </row>
    <row r="2696" spans="1:3" x14ac:dyDescent="0.3">
      <c r="A2696" s="335">
        <v>43124</v>
      </c>
      <c r="B2696">
        <v>171.40893600000001</v>
      </c>
      <c r="C2696" s="334">
        <f t="shared" si="42"/>
        <v>-3.0358646094627267E-2</v>
      </c>
    </row>
    <row r="2697" spans="1:3" x14ac:dyDescent="0.3">
      <c r="A2697" s="335">
        <v>43125</v>
      </c>
      <c r="B2697">
        <v>170.270523</v>
      </c>
      <c r="C2697" s="334">
        <f t="shared" si="42"/>
        <v>-6.6415032177786458E-3</v>
      </c>
    </row>
    <row r="2698" spans="1:3" x14ac:dyDescent="0.3">
      <c r="A2698" s="335">
        <v>43126</v>
      </c>
      <c r="B2698">
        <v>171.40893600000001</v>
      </c>
      <c r="C2698" s="334">
        <f t="shared" si="42"/>
        <v>6.6859076952504228E-3</v>
      </c>
    </row>
    <row r="2699" spans="1:3" x14ac:dyDescent="0.3">
      <c r="A2699" s="335">
        <v>43129</v>
      </c>
      <c r="B2699">
        <v>166.69274899999999</v>
      </c>
      <c r="C2699" s="334">
        <f t="shared" si="42"/>
        <v>-2.7514242314648163E-2</v>
      </c>
    </row>
    <row r="2700" spans="1:3" x14ac:dyDescent="0.3">
      <c r="A2700" s="335">
        <v>43130</v>
      </c>
      <c r="B2700">
        <v>169.13215600000001</v>
      </c>
      <c r="C2700" s="334">
        <f t="shared" si="42"/>
        <v>1.4634151843041577E-2</v>
      </c>
    </row>
    <row r="2701" spans="1:3" x14ac:dyDescent="0.3">
      <c r="A2701" s="335">
        <v>43131</v>
      </c>
      <c r="B2701">
        <v>170.433167</v>
      </c>
      <c r="C2701" s="334">
        <f t="shared" si="42"/>
        <v>7.6922746730668312E-3</v>
      </c>
    </row>
    <row r="2702" spans="1:3" x14ac:dyDescent="0.3">
      <c r="A2702" s="335">
        <v>43132</v>
      </c>
      <c r="B2702">
        <v>173.84835799999999</v>
      </c>
      <c r="C2702" s="334">
        <f t="shared" si="42"/>
        <v>2.0038300408980799E-2</v>
      </c>
    </row>
    <row r="2703" spans="1:3" x14ac:dyDescent="0.3">
      <c r="A2703" s="335">
        <v>43133</v>
      </c>
      <c r="B2703">
        <v>179.86552399999999</v>
      </c>
      <c r="C2703" s="334">
        <f t="shared" si="42"/>
        <v>3.4611577982232099E-2</v>
      </c>
    </row>
    <row r="2704" spans="1:3" x14ac:dyDescent="0.3">
      <c r="A2704" s="335">
        <v>43136</v>
      </c>
      <c r="B2704">
        <v>179.54028299999999</v>
      </c>
      <c r="C2704" s="334">
        <f t="shared" si="42"/>
        <v>-1.8082453644646512E-3</v>
      </c>
    </row>
    <row r="2705" spans="1:3" x14ac:dyDescent="0.3">
      <c r="A2705" s="335">
        <v>43137</v>
      </c>
      <c r="B2705">
        <v>177.100876</v>
      </c>
      <c r="C2705" s="334">
        <f t="shared" si="42"/>
        <v>-1.3586961985572835E-2</v>
      </c>
    </row>
    <row r="2706" spans="1:3" x14ac:dyDescent="0.3">
      <c r="A2706" s="335">
        <v>43138</v>
      </c>
      <c r="B2706">
        <v>181.81706199999999</v>
      </c>
      <c r="C2706" s="334">
        <f t="shared" si="42"/>
        <v>2.6629941683631159E-2</v>
      </c>
    </row>
    <row r="2707" spans="1:3" x14ac:dyDescent="0.3">
      <c r="A2707" s="335">
        <v>43139</v>
      </c>
      <c r="B2707">
        <v>188.97264100000001</v>
      </c>
      <c r="C2707" s="334">
        <f t="shared" si="42"/>
        <v>3.9355926893153828E-2</v>
      </c>
    </row>
    <row r="2708" spans="1:3" x14ac:dyDescent="0.3">
      <c r="A2708" s="335">
        <v>43140</v>
      </c>
      <c r="B2708">
        <v>188.32214400000001</v>
      </c>
      <c r="C2708" s="334">
        <f t="shared" si="42"/>
        <v>-3.4422813617766045E-3</v>
      </c>
    </row>
    <row r="2709" spans="1:3" x14ac:dyDescent="0.3">
      <c r="A2709" s="335">
        <v>43143</v>
      </c>
      <c r="B2709">
        <v>188.81002799999999</v>
      </c>
      <c r="C2709" s="334">
        <f t="shared" si="42"/>
        <v>2.5906884322641302E-3</v>
      </c>
    </row>
    <row r="2710" spans="1:3" x14ac:dyDescent="0.3">
      <c r="A2710" s="335">
        <v>43144</v>
      </c>
      <c r="B2710">
        <v>195.31509399999999</v>
      </c>
      <c r="C2710" s="334">
        <f t="shared" si="42"/>
        <v>3.4452968779815019E-2</v>
      </c>
    </row>
    <row r="2711" spans="1:3" x14ac:dyDescent="0.3">
      <c r="A2711" s="335">
        <v>43145</v>
      </c>
      <c r="B2711">
        <v>196.778763</v>
      </c>
      <c r="C2711" s="334">
        <f t="shared" si="42"/>
        <v>7.4938857516050972E-3</v>
      </c>
    </row>
    <row r="2712" spans="1:3" x14ac:dyDescent="0.3">
      <c r="A2712" s="335">
        <v>43146</v>
      </c>
      <c r="B2712">
        <v>204.259613</v>
      </c>
      <c r="C2712" s="334">
        <f t="shared" si="42"/>
        <v>3.8016551613346626E-2</v>
      </c>
    </row>
    <row r="2713" spans="1:3" x14ac:dyDescent="0.3">
      <c r="A2713" s="335">
        <v>43147</v>
      </c>
      <c r="B2713">
        <v>209.62629699999999</v>
      </c>
      <c r="C2713" s="334">
        <f t="shared" si="42"/>
        <v>2.6273838088589702E-2</v>
      </c>
    </row>
    <row r="2714" spans="1:3" x14ac:dyDescent="0.3">
      <c r="A2714" s="335">
        <v>43150</v>
      </c>
      <c r="B2714">
        <v>208.650543</v>
      </c>
      <c r="C2714" s="334">
        <f t="shared" si="42"/>
        <v>-4.6547308899894122E-3</v>
      </c>
    </row>
    <row r="2715" spans="1:3" x14ac:dyDescent="0.3">
      <c r="A2715" s="335">
        <v>43151</v>
      </c>
      <c r="B2715">
        <v>212.553574</v>
      </c>
      <c r="C2715" s="334">
        <f t="shared" si="42"/>
        <v>1.8706066822936563E-2</v>
      </c>
    </row>
    <row r="2716" spans="1:3" x14ac:dyDescent="0.3">
      <c r="A2716" s="335">
        <v>43152</v>
      </c>
      <c r="B2716">
        <v>220.35966500000001</v>
      </c>
      <c r="C2716" s="334">
        <f t="shared" si="42"/>
        <v>3.6725286962241387E-2</v>
      </c>
    </row>
    <row r="2717" spans="1:3" x14ac:dyDescent="0.3">
      <c r="A2717" s="335">
        <v>43153</v>
      </c>
      <c r="B2717">
        <v>226.051636</v>
      </c>
      <c r="C2717" s="334">
        <f t="shared" si="42"/>
        <v>2.5830366914017567E-2</v>
      </c>
    </row>
    <row r="2718" spans="1:3" x14ac:dyDescent="0.3">
      <c r="A2718" s="335">
        <v>43154</v>
      </c>
      <c r="B2718">
        <v>234.02032500000001</v>
      </c>
      <c r="C2718" s="334">
        <f t="shared" si="42"/>
        <v>3.5251631622785565E-2</v>
      </c>
    </row>
    <row r="2719" spans="1:3" x14ac:dyDescent="0.3">
      <c r="A2719" s="335">
        <v>43157</v>
      </c>
      <c r="B2719">
        <v>230.27990700000001</v>
      </c>
      <c r="C2719" s="334">
        <f t="shared" si="42"/>
        <v>-1.5983304014298781E-2</v>
      </c>
    </row>
    <row r="2720" spans="1:3" x14ac:dyDescent="0.3">
      <c r="A2720" s="335">
        <v>43158</v>
      </c>
      <c r="B2720">
        <v>224.91325399999999</v>
      </c>
      <c r="C2720" s="334">
        <f t="shared" si="42"/>
        <v>-2.3304912138947552E-2</v>
      </c>
    </row>
    <row r="2721" spans="1:3" x14ac:dyDescent="0.3">
      <c r="A2721" s="335">
        <v>43159</v>
      </c>
      <c r="B2721">
        <v>229.304169</v>
      </c>
      <c r="C2721" s="334">
        <f t="shared" si="42"/>
        <v>1.9522704517893848E-2</v>
      </c>
    </row>
    <row r="2722" spans="1:3" x14ac:dyDescent="0.3">
      <c r="A2722" s="335">
        <v>43160</v>
      </c>
      <c r="B2722">
        <v>228.65365600000001</v>
      </c>
      <c r="C2722" s="334">
        <f t="shared" si="42"/>
        <v>-2.8369000129255801E-3</v>
      </c>
    </row>
    <row r="2723" spans="1:3" x14ac:dyDescent="0.3">
      <c r="A2723" s="335">
        <v>43161</v>
      </c>
      <c r="B2723">
        <v>226.051636</v>
      </c>
      <c r="C2723" s="334">
        <f t="shared" si="42"/>
        <v>-1.1379743694104808E-2</v>
      </c>
    </row>
    <row r="2724" spans="1:3" x14ac:dyDescent="0.3">
      <c r="A2724" s="335">
        <v>43164</v>
      </c>
      <c r="B2724">
        <v>227.67787200000001</v>
      </c>
      <c r="C2724" s="334">
        <f t="shared" si="42"/>
        <v>7.19409082268268E-3</v>
      </c>
    </row>
    <row r="2725" spans="1:3" x14ac:dyDescent="0.3">
      <c r="A2725" s="335">
        <v>43165</v>
      </c>
      <c r="B2725">
        <v>232.068817</v>
      </c>
      <c r="C2725" s="334">
        <f t="shared" si="42"/>
        <v>1.9285778461597656E-2</v>
      </c>
    </row>
    <row r="2726" spans="1:3" x14ac:dyDescent="0.3">
      <c r="A2726" s="335">
        <v>43166</v>
      </c>
      <c r="B2726">
        <v>237.923416</v>
      </c>
      <c r="C2726" s="334">
        <f t="shared" si="42"/>
        <v>2.5227857304068593E-2</v>
      </c>
    </row>
    <row r="2727" spans="1:3" x14ac:dyDescent="0.3">
      <c r="A2727" s="335">
        <v>43167</v>
      </c>
      <c r="B2727">
        <v>243.61537200000001</v>
      </c>
      <c r="C2727" s="334">
        <f t="shared" si="42"/>
        <v>2.3923479646072349E-2</v>
      </c>
    </row>
    <row r="2728" spans="1:3" x14ac:dyDescent="0.3">
      <c r="A2728" s="335">
        <v>43168</v>
      </c>
      <c r="B2728">
        <v>245.40425099999999</v>
      </c>
      <c r="C2728" s="334">
        <f t="shared" si="42"/>
        <v>7.3430464806628869E-3</v>
      </c>
    </row>
    <row r="2729" spans="1:3" x14ac:dyDescent="0.3">
      <c r="A2729" s="335">
        <v>43171</v>
      </c>
      <c r="B2729">
        <v>254.34873999999999</v>
      </c>
      <c r="C2729" s="334">
        <f t="shared" si="42"/>
        <v>3.644797905314201E-2</v>
      </c>
    </row>
    <row r="2730" spans="1:3" x14ac:dyDescent="0.3">
      <c r="A2730" s="335">
        <v>43172</v>
      </c>
      <c r="B2730">
        <v>245.56686400000001</v>
      </c>
      <c r="C2730" s="334">
        <f t="shared" si="42"/>
        <v>-3.4526909785359987E-2</v>
      </c>
    </row>
    <row r="2731" spans="1:3" x14ac:dyDescent="0.3">
      <c r="A2731" s="335">
        <v>43173</v>
      </c>
      <c r="B2731">
        <v>244.26585399999999</v>
      </c>
      <c r="C2731" s="334">
        <f t="shared" si="42"/>
        <v>-5.2979867837544209E-3</v>
      </c>
    </row>
    <row r="2732" spans="1:3" x14ac:dyDescent="0.3">
      <c r="A2732" s="335">
        <v>43174</v>
      </c>
      <c r="B2732">
        <v>239.87492399999999</v>
      </c>
      <c r="C2732" s="334">
        <f t="shared" si="42"/>
        <v>-1.7976028692082348E-2</v>
      </c>
    </row>
    <row r="2733" spans="1:3" x14ac:dyDescent="0.3">
      <c r="A2733" s="335">
        <v>43175</v>
      </c>
      <c r="B2733">
        <v>238.57389800000001</v>
      </c>
      <c r="C2733" s="334">
        <f t="shared" si="42"/>
        <v>-5.4237682634971007E-3</v>
      </c>
    </row>
    <row r="2734" spans="1:3" x14ac:dyDescent="0.3">
      <c r="A2734" s="335">
        <v>43178</v>
      </c>
      <c r="B2734">
        <v>241.01327499999999</v>
      </c>
      <c r="C2734" s="334">
        <f t="shared" si="42"/>
        <v>1.0224827696783404E-2</v>
      </c>
    </row>
    <row r="2735" spans="1:3" x14ac:dyDescent="0.3">
      <c r="A2735" s="335">
        <v>43179</v>
      </c>
      <c r="B2735">
        <v>247.51838699999999</v>
      </c>
      <c r="C2735" s="334">
        <f t="shared" si="42"/>
        <v>2.6990679247854695E-2</v>
      </c>
    </row>
    <row r="2736" spans="1:3" x14ac:dyDescent="0.3">
      <c r="A2736" s="335">
        <v>43180</v>
      </c>
      <c r="B2736">
        <v>247.19314600000001</v>
      </c>
      <c r="C2736" s="334">
        <f t="shared" si="42"/>
        <v>-1.3140074316983046E-3</v>
      </c>
    </row>
    <row r="2737" spans="1:3" x14ac:dyDescent="0.3">
      <c r="A2737" s="335">
        <v>43181</v>
      </c>
      <c r="B2737">
        <v>245.89213599999999</v>
      </c>
      <c r="C2737" s="334">
        <f t="shared" si="42"/>
        <v>-5.2631313653009586E-3</v>
      </c>
    </row>
    <row r="2738" spans="1:3" x14ac:dyDescent="0.3">
      <c r="A2738" s="335">
        <v>43182</v>
      </c>
      <c r="B2738">
        <v>248.00625600000001</v>
      </c>
      <c r="C2738" s="334">
        <f t="shared" si="42"/>
        <v>8.5977536101439784E-3</v>
      </c>
    </row>
    <row r="2739" spans="1:3" x14ac:dyDescent="0.3">
      <c r="A2739" s="335">
        <v>43185</v>
      </c>
      <c r="B2739">
        <v>256.95077500000002</v>
      </c>
      <c r="C2739" s="334">
        <f t="shared" si="42"/>
        <v>3.6065699084623148E-2</v>
      </c>
    </row>
    <row r="2740" spans="1:3" x14ac:dyDescent="0.3">
      <c r="A2740" s="335">
        <v>43186</v>
      </c>
      <c r="B2740">
        <v>261.50433299999997</v>
      </c>
      <c r="C2740" s="334">
        <f t="shared" si="42"/>
        <v>1.7721518839551864E-2</v>
      </c>
    </row>
    <row r="2741" spans="1:3" x14ac:dyDescent="0.3">
      <c r="A2741" s="335">
        <v>43187</v>
      </c>
      <c r="B2741">
        <v>261.17907700000001</v>
      </c>
      <c r="C2741" s="334">
        <f t="shared" si="42"/>
        <v>-1.2437881861023221E-3</v>
      </c>
    </row>
    <row r="2742" spans="1:3" x14ac:dyDescent="0.3">
      <c r="A2742" s="335">
        <v>43193</v>
      </c>
      <c r="B2742">
        <v>268.334656</v>
      </c>
      <c r="C2742" s="334">
        <f t="shared" si="42"/>
        <v>2.7397213751544074E-2</v>
      </c>
    </row>
    <row r="2743" spans="1:3" x14ac:dyDescent="0.3">
      <c r="A2743" s="335">
        <v>43194</v>
      </c>
      <c r="B2743">
        <v>263.45584100000002</v>
      </c>
      <c r="C2743" s="334">
        <f t="shared" si="42"/>
        <v>-1.8181829632919182E-2</v>
      </c>
    </row>
    <row r="2744" spans="1:3" x14ac:dyDescent="0.3">
      <c r="A2744" s="335">
        <v>43195</v>
      </c>
      <c r="B2744">
        <v>265.89523300000002</v>
      </c>
      <c r="C2744" s="334">
        <f t="shared" si="42"/>
        <v>9.2592063654417054E-3</v>
      </c>
    </row>
    <row r="2745" spans="1:3" x14ac:dyDescent="0.3">
      <c r="A2745" s="335">
        <v>43196</v>
      </c>
      <c r="B2745">
        <v>268.82254</v>
      </c>
      <c r="C2745" s="334">
        <f t="shared" si="42"/>
        <v>1.1009249646833587E-2</v>
      </c>
    </row>
    <row r="2746" spans="1:3" x14ac:dyDescent="0.3">
      <c r="A2746" s="335">
        <v>43199</v>
      </c>
      <c r="B2746">
        <v>270.61142000000001</v>
      </c>
      <c r="C2746" s="334">
        <f t="shared" si="42"/>
        <v>6.6545015161303287E-3</v>
      </c>
    </row>
    <row r="2747" spans="1:3" x14ac:dyDescent="0.3">
      <c r="A2747" s="335">
        <v>43200</v>
      </c>
      <c r="B2747">
        <v>277.44177200000001</v>
      </c>
      <c r="C2747" s="334">
        <f t="shared" si="42"/>
        <v>2.5240442550428968E-2</v>
      </c>
    </row>
    <row r="2748" spans="1:3" x14ac:dyDescent="0.3">
      <c r="A2748" s="335">
        <v>43201</v>
      </c>
      <c r="B2748">
        <v>278.74276700000001</v>
      </c>
      <c r="C2748" s="334">
        <f t="shared" si="42"/>
        <v>4.6892542194403239E-3</v>
      </c>
    </row>
    <row r="2749" spans="1:3" x14ac:dyDescent="0.3">
      <c r="A2749" s="335">
        <v>43202</v>
      </c>
      <c r="B2749">
        <v>281.34481799999998</v>
      </c>
      <c r="C2749" s="334">
        <f t="shared" si="42"/>
        <v>9.3349543308507092E-3</v>
      </c>
    </row>
    <row r="2750" spans="1:3" x14ac:dyDescent="0.3">
      <c r="A2750" s="335">
        <v>43203</v>
      </c>
      <c r="B2750">
        <v>286.38626099999999</v>
      </c>
      <c r="C2750" s="334">
        <f t="shared" si="42"/>
        <v>1.7919089592046494E-2</v>
      </c>
    </row>
    <row r="2751" spans="1:3" x14ac:dyDescent="0.3">
      <c r="A2751" s="335">
        <v>43206</v>
      </c>
      <c r="B2751">
        <v>288.98828099999997</v>
      </c>
      <c r="C2751" s="334">
        <f t="shared" si="42"/>
        <v>9.0857012166515282E-3</v>
      </c>
    </row>
    <row r="2752" spans="1:3" x14ac:dyDescent="0.3">
      <c r="A2752" s="335">
        <v>43207</v>
      </c>
      <c r="B2752">
        <v>293.21664399999997</v>
      </c>
      <c r="C2752" s="334">
        <f t="shared" si="42"/>
        <v>1.4631607155032013E-2</v>
      </c>
    </row>
    <row r="2753" spans="1:3" x14ac:dyDescent="0.3">
      <c r="A2753" s="335">
        <v>43208</v>
      </c>
      <c r="B2753">
        <v>304.92575099999999</v>
      </c>
      <c r="C2753" s="334">
        <f t="shared" si="42"/>
        <v>3.9933295873886401E-2</v>
      </c>
    </row>
    <row r="2754" spans="1:3" x14ac:dyDescent="0.3">
      <c r="A2754" s="335">
        <v>43209</v>
      </c>
      <c r="B2754">
        <v>296.79437300000001</v>
      </c>
      <c r="C2754" s="334">
        <f t="shared" si="42"/>
        <v>-2.6666747473223354E-2</v>
      </c>
    </row>
    <row r="2755" spans="1:3" x14ac:dyDescent="0.3">
      <c r="A2755" s="335">
        <v>43210</v>
      </c>
      <c r="B2755">
        <v>297.28228799999999</v>
      </c>
      <c r="C2755" s="334">
        <f t="shared" si="42"/>
        <v>1.6439496310800567E-3</v>
      </c>
    </row>
    <row r="2756" spans="1:3" x14ac:dyDescent="0.3">
      <c r="A2756" s="335">
        <v>43213</v>
      </c>
      <c r="B2756">
        <v>303.46209700000003</v>
      </c>
      <c r="C2756" s="334">
        <f t="shared" si="42"/>
        <v>2.0787679755747961E-2</v>
      </c>
    </row>
    <row r="2757" spans="1:3" x14ac:dyDescent="0.3">
      <c r="A2757" s="335">
        <v>43214</v>
      </c>
      <c r="B2757">
        <v>306.06414799999999</v>
      </c>
      <c r="C2757" s="334">
        <f t="shared" si="42"/>
        <v>8.5745502509987602E-3</v>
      </c>
    </row>
    <row r="2758" spans="1:3" x14ac:dyDescent="0.3">
      <c r="A2758" s="335">
        <v>43215</v>
      </c>
      <c r="B2758">
        <v>311.75607300000001</v>
      </c>
      <c r="C2758" s="334">
        <f t="shared" ref="C2758:C2821" si="43">(B2758-B2757)/B2757</f>
        <v>1.8597163493974559E-2</v>
      </c>
    </row>
    <row r="2759" spans="1:3" x14ac:dyDescent="0.3">
      <c r="A2759" s="335">
        <v>43216</v>
      </c>
      <c r="B2759">
        <v>319.39956699999999</v>
      </c>
      <c r="C2759" s="334">
        <f t="shared" si="43"/>
        <v>2.4517546447282761E-2</v>
      </c>
    </row>
    <row r="2760" spans="1:3" x14ac:dyDescent="0.3">
      <c r="A2760" s="335">
        <v>43217</v>
      </c>
      <c r="B2760">
        <v>327.85617100000002</v>
      </c>
      <c r="C2760" s="334">
        <f t="shared" si="43"/>
        <v>2.6476566889021572E-2</v>
      </c>
    </row>
    <row r="2761" spans="1:3" x14ac:dyDescent="0.3">
      <c r="A2761" s="335">
        <v>43220</v>
      </c>
      <c r="B2761">
        <v>304.92575099999999</v>
      </c>
      <c r="C2761" s="334">
        <f t="shared" si="43"/>
        <v>-6.9940486189598139E-2</v>
      </c>
    </row>
    <row r="2762" spans="1:3" x14ac:dyDescent="0.3">
      <c r="A2762" s="335">
        <v>43222</v>
      </c>
      <c r="B2762">
        <v>310.12982199999999</v>
      </c>
      <c r="C2762" s="334">
        <f t="shared" si="43"/>
        <v>1.7066682570866239E-2</v>
      </c>
    </row>
    <row r="2763" spans="1:3" x14ac:dyDescent="0.3">
      <c r="A2763" s="335">
        <v>43223</v>
      </c>
      <c r="B2763">
        <v>314.35812399999998</v>
      </c>
      <c r="C2763" s="334">
        <f t="shared" si="43"/>
        <v>1.3633974226445031E-2</v>
      </c>
    </row>
    <row r="2764" spans="1:3" x14ac:dyDescent="0.3">
      <c r="A2764" s="335">
        <v>43224</v>
      </c>
      <c r="B2764">
        <v>318.09857199999999</v>
      </c>
      <c r="C2764" s="334">
        <f t="shared" si="43"/>
        <v>1.1898684062639383E-2</v>
      </c>
    </row>
    <row r="2765" spans="1:3" x14ac:dyDescent="0.3">
      <c r="A2765" s="335">
        <v>43227</v>
      </c>
      <c r="B2765">
        <v>327.20565800000003</v>
      </c>
      <c r="C2765" s="334">
        <f t="shared" si="43"/>
        <v>2.8629760714549948E-2</v>
      </c>
    </row>
    <row r="2766" spans="1:3" x14ac:dyDescent="0.3">
      <c r="A2766" s="335">
        <v>43228</v>
      </c>
      <c r="B2766">
        <v>325.09149200000002</v>
      </c>
      <c r="C2766" s="334">
        <f t="shared" si="43"/>
        <v>-6.4612758010437928E-3</v>
      </c>
    </row>
    <row r="2767" spans="1:3" x14ac:dyDescent="0.3">
      <c r="A2767" s="335">
        <v>43229</v>
      </c>
      <c r="B2767">
        <v>318.09857199999999</v>
      </c>
      <c r="C2767" s="334">
        <f t="shared" si="43"/>
        <v>-2.1510621385317664E-2</v>
      </c>
    </row>
    <row r="2768" spans="1:3" x14ac:dyDescent="0.3">
      <c r="A2768" s="335">
        <v>43231</v>
      </c>
      <c r="B2768">
        <v>316.47228999999999</v>
      </c>
      <c r="C2768" s="334">
        <f t="shared" si="43"/>
        <v>-5.1125095902662633E-3</v>
      </c>
    </row>
    <row r="2769" spans="1:3" x14ac:dyDescent="0.3">
      <c r="A2769" s="335">
        <v>43234</v>
      </c>
      <c r="B2769">
        <v>316.47228999999999</v>
      </c>
      <c r="C2769" s="334">
        <f t="shared" si="43"/>
        <v>0</v>
      </c>
    </row>
    <row r="2770" spans="1:3" x14ac:dyDescent="0.3">
      <c r="A2770" s="335">
        <v>43235</v>
      </c>
      <c r="B2770">
        <v>308.99142499999999</v>
      </c>
      <c r="C2770" s="334">
        <f t="shared" si="43"/>
        <v>-2.3638293892966095E-2</v>
      </c>
    </row>
    <row r="2771" spans="1:3" x14ac:dyDescent="0.3">
      <c r="A2771" s="335">
        <v>43236</v>
      </c>
      <c r="B2771">
        <v>295.81860399999999</v>
      </c>
      <c r="C2771" s="334">
        <f t="shared" si="43"/>
        <v>-4.2631671736521486E-2</v>
      </c>
    </row>
    <row r="2772" spans="1:3" x14ac:dyDescent="0.3">
      <c r="A2772" s="335">
        <v>43238</v>
      </c>
      <c r="B2772">
        <v>302.811554</v>
      </c>
      <c r="C2772" s="334">
        <f t="shared" si="43"/>
        <v>2.36393178300578E-2</v>
      </c>
    </row>
    <row r="2773" spans="1:3" x14ac:dyDescent="0.3">
      <c r="A2773" s="335">
        <v>43242</v>
      </c>
      <c r="B2773">
        <v>286.06100500000002</v>
      </c>
      <c r="C2773" s="334">
        <f t="shared" si="43"/>
        <v>-5.5316743297053911E-2</v>
      </c>
    </row>
    <row r="2774" spans="1:3" x14ac:dyDescent="0.3">
      <c r="A2774" s="335">
        <v>43243</v>
      </c>
      <c r="B2774">
        <v>290.77722199999999</v>
      </c>
      <c r="C2774" s="334">
        <f t="shared" si="43"/>
        <v>1.6486752537277743E-2</v>
      </c>
    </row>
    <row r="2775" spans="1:3" x14ac:dyDescent="0.3">
      <c r="A2775" s="335">
        <v>43244</v>
      </c>
      <c r="B2775">
        <v>295.16812099999999</v>
      </c>
      <c r="C2775" s="334">
        <f t="shared" si="43"/>
        <v>1.5100560387085583E-2</v>
      </c>
    </row>
    <row r="2776" spans="1:3" x14ac:dyDescent="0.3">
      <c r="A2776" s="335">
        <v>43245</v>
      </c>
      <c r="B2776">
        <v>287.84994499999999</v>
      </c>
      <c r="C2776" s="334">
        <f t="shared" si="43"/>
        <v>-2.4793246557950593E-2</v>
      </c>
    </row>
    <row r="2777" spans="1:3" x14ac:dyDescent="0.3">
      <c r="A2777" s="335">
        <v>43248</v>
      </c>
      <c r="B2777">
        <v>291.75292999999999</v>
      </c>
      <c r="C2777" s="334">
        <f t="shared" si="43"/>
        <v>1.3559095868508855E-2</v>
      </c>
    </row>
    <row r="2778" spans="1:3" x14ac:dyDescent="0.3">
      <c r="A2778" s="335">
        <v>43249</v>
      </c>
      <c r="B2778">
        <v>288.98828099999997</v>
      </c>
      <c r="C2778" s="334">
        <f t="shared" si="43"/>
        <v>-9.4759939514575571E-3</v>
      </c>
    </row>
    <row r="2779" spans="1:3" x14ac:dyDescent="0.3">
      <c r="A2779" s="335">
        <v>43250</v>
      </c>
      <c r="B2779">
        <v>289.15093999999999</v>
      </c>
      <c r="C2779" s="334">
        <f t="shared" si="43"/>
        <v>5.6285673397261124E-4</v>
      </c>
    </row>
    <row r="2780" spans="1:3" x14ac:dyDescent="0.3">
      <c r="A2780" s="335">
        <v>43251</v>
      </c>
      <c r="B2780">
        <v>290.28930700000001</v>
      </c>
      <c r="C2780" s="334">
        <f t="shared" si="43"/>
        <v>3.9369299646752542E-3</v>
      </c>
    </row>
    <row r="2781" spans="1:3" x14ac:dyDescent="0.3">
      <c r="A2781" s="335">
        <v>43252</v>
      </c>
      <c r="B2781">
        <v>284.75997899999999</v>
      </c>
      <c r="C2781" s="334">
        <f t="shared" si="43"/>
        <v>-1.9047646147021258E-2</v>
      </c>
    </row>
    <row r="2782" spans="1:3" x14ac:dyDescent="0.3">
      <c r="A2782" s="335">
        <v>43255</v>
      </c>
      <c r="B2782">
        <v>289.96408100000002</v>
      </c>
      <c r="C2782" s="334">
        <f t="shared" si="43"/>
        <v>1.8275398173140174E-2</v>
      </c>
    </row>
    <row r="2783" spans="1:3" x14ac:dyDescent="0.3">
      <c r="A2783" s="335">
        <v>43256</v>
      </c>
      <c r="B2783">
        <v>281.34481799999998</v>
      </c>
      <c r="C2783" s="334">
        <f t="shared" si="43"/>
        <v>-2.972527828369213E-2</v>
      </c>
    </row>
    <row r="2784" spans="1:3" x14ac:dyDescent="0.3">
      <c r="A2784" s="335">
        <v>43257</v>
      </c>
      <c r="B2784">
        <v>285.81881700000002</v>
      </c>
      <c r="C2784" s="334">
        <f t="shared" si="43"/>
        <v>1.5902190883786065E-2</v>
      </c>
    </row>
    <row r="2785" spans="1:3" x14ac:dyDescent="0.3">
      <c r="A2785" s="335">
        <v>43258</v>
      </c>
      <c r="B2785">
        <v>289.60446200000001</v>
      </c>
      <c r="C2785" s="334">
        <f t="shared" si="43"/>
        <v>1.3244911723219356E-2</v>
      </c>
    </row>
    <row r="2786" spans="1:3" x14ac:dyDescent="0.3">
      <c r="A2786" s="335">
        <v>43259</v>
      </c>
      <c r="B2786">
        <v>297.51998900000001</v>
      </c>
      <c r="C2786" s="334">
        <f t="shared" si="43"/>
        <v>2.7332199736618688E-2</v>
      </c>
    </row>
    <row r="2787" spans="1:3" x14ac:dyDescent="0.3">
      <c r="A2787" s="335">
        <v>43262</v>
      </c>
      <c r="B2787">
        <v>296.14340199999998</v>
      </c>
      <c r="C2787" s="334">
        <f t="shared" si="43"/>
        <v>-4.6268723141154357E-3</v>
      </c>
    </row>
    <row r="2788" spans="1:3" x14ac:dyDescent="0.3">
      <c r="A2788" s="335">
        <v>43263</v>
      </c>
      <c r="B2788">
        <v>300.101135</v>
      </c>
      <c r="C2788" s="334">
        <f t="shared" si="43"/>
        <v>1.3364245069353324E-2</v>
      </c>
    </row>
    <row r="2789" spans="1:3" x14ac:dyDescent="0.3">
      <c r="A2789" s="335">
        <v>43264</v>
      </c>
      <c r="B2789">
        <v>307.84454299999999</v>
      </c>
      <c r="C2789" s="334">
        <f t="shared" si="43"/>
        <v>2.5802661492766391E-2</v>
      </c>
    </row>
    <row r="2790" spans="1:3" x14ac:dyDescent="0.3">
      <c r="A2790" s="335">
        <v>43265</v>
      </c>
      <c r="B2790">
        <v>303.37060500000001</v>
      </c>
      <c r="C2790" s="334">
        <f t="shared" si="43"/>
        <v>-1.4533108030438517E-2</v>
      </c>
    </row>
    <row r="2791" spans="1:3" x14ac:dyDescent="0.3">
      <c r="A2791" s="335">
        <v>43266</v>
      </c>
      <c r="B2791">
        <v>308.53289799999999</v>
      </c>
      <c r="C2791" s="334">
        <f t="shared" si="43"/>
        <v>1.7016457477809943E-2</v>
      </c>
    </row>
    <row r="2792" spans="1:3" x14ac:dyDescent="0.3">
      <c r="A2792" s="335">
        <v>43269</v>
      </c>
      <c r="B2792">
        <v>302.33813500000002</v>
      </c>
      <c r="C2792" s="334">
        <f t="shared" si="43"/>
        <v>-2.0078127940832961E-2</v>
      </c>
    </row>
    <row r="2793" spans="1:3" x14ac:dyDescent="0.3">
      <c r="A2793" s="335">
        <v>43270</v>
      </c>
      <c r="B2793">
        <v>304.058899</v>
      </c>
      <c r="C2793" s="334">
        <f t="shared" si="43"/>
        <v>5.6915215144790589E-3</v>
      </c>
    </row>
    <row r="2794" spans="1:3" x14ac:dyDescent="0.3">
      <c r="A2794" s="335">
        <v>43271</v>
      </c>
      <c r="B2794">
        <v>297.347961</v>
      </c>
      <c r="C2794" s="334">
        <f t="shared" si="43"/>
        <v>-2.2071177729285928E-2</v>
      </c>
    </row>
    <row r="2795" spans="1:3" x14ac:dyDescent="0.3">
      <c r="A2795" s="335">
        <v>43272</v>
      </c>
      <c r="B2795">
        <v>298.89660600000002</v>
      </c>
      <c r="C2795" s="334">
        <f t="shared" si="43"/>
        <v>5.2081910862675192E-3</v>
      </c>
    </row>
    <row r="2796" spans="1:3" x14ac:dyDescent="0.3">
      <c r="A2796" s="335">
        <v>43273</v>
      </c>
      <c r="B2796">
        <v>299.92907700000001</v>
      </c>
      <c r="C2796" s="334">
        <f t="shared" si="43"/>
        <v>3.454274753457678E-3</v>
      </c>
    </row>
    <row r="2797" spans="1:3" x14ac:dyDescent="0.3">
      <c r="A2797" s="335">
        <v>43276</v>
      </c>
      <c r="B2797">
        <v>294.078461</v>
      </c>
      <c r="C2797" s="334">
        <f t="shared" si="43"/>
        <v>-1.9506664903983291E-2</v>
      </c>
    </row>
    <row r="2798" spans="1:3" x14ac:dyDescent="0.3">
      <c r="A2798" s="335">
        <v>43277</v>
      </c>
      <c r="B2798">
        <v>297.17584199999999</v>
      </c>
      <c r="C2798" s="334">
        <f t="shared" si="43"/>
        <v>1.0532498672182538E-2</v>
      </c>
    </row>
    <row r="2799" spans="1:3" x14ac:dyDescent="0.3">
      <c r="A2799" s="335">
        <v>43278</v>
      </c>
      <c r="B2799">
        <v>296.83169600000002</v>
      </c>
      <c r="C2799" s="334">
        <f t="shared" si="43"/>
        <v>-1.1580551019351249E-3</v>
      </c>
    </row>
    <row r="2800" spans="1:3" x14ac:dyDescent="0.3">
      <c r="A2800" s="335">
        <v>43279</v>
      </c>
      <c r="B2800">
        <v>296.83169600000002</v>
      </c>
      <c r="C2800" s="334">
        <f t="shared" si="43"/>
        <v>0</v>
      </c>
    </row>
    <row r="2801" spans="1:3" x14ac:dyDescent="0.3">
      <c r="A2801" s="335">
        <v>43280</v>
      </c>
      <c r="B2801">
        <v>294.078461</v>
      </c>
      <c r="C2801" s="334">
        <f t="shared" si="43"/>
        <v>-9.2754077044387394E-3</v>
      </c>
    </row>
    <row r="2802" spans="1:3" x14ac:dyDescent="0.3">
      <c r="A2802" s="335">
        <v>43283</v>
      </c>
      <c r="B2802">
        <v>295.97134399999999</v>
      </c>
      <c r="C2802" s="334">
        <f t="shared" si="43"/>
        <v>6.4366597729168043E-3</v>
      </c>
    </row>
    <row r="2803" spans="1:3" x14ac:dyDescent="0.3">
      <c r="A2803" s="335">
        <v>43284</v>
      </c>
      <c r="B2803">
        <v>295.11093099999999</v>
      </c>
      <c r="C2803" s="334">
        <f t="shared" si="43"/>
        <v>-2.9070821126520752E-3</v>
      </c>
    </row>
    <row r="2804" spans="1:3" x14ac:dyDescent="0.3">
      <c r="A2804" s="335">
        <v>43285</v>
      </c>
      <c r="B2804">
        <v>298.72454800000003</v>
      </c>
      <c r="C2804" s="334">
        <f t="shared" si="43"/>
        <v>1.2244944596782941E-2</v>
      </c>
    </row>
    <row r="2805" spans="1:3" x14ac:dyDescent="0.3">
      <c r="A2805" s="335">
        <v>43286</v>
      </c>
      <c r="B2805">
        <v>306.29586799999998</v>
      </c>
      <c r="C2805" s="334">
        <f t="shared" si="43"/>
        <v>2.5345489852410644E-2</v>
      </c>
    </row>
    <row r="2806" spans="1:3" x14ac:dyDescent="0.3">
      <c r="A2806" s="335">
        <v>43287</v>
      </c>
      <c r="B2806">
        <v>309.909515</v>
      </c>
      <c r="C2806" s="334">
        <f t="shared" si="43"/>
        <v>1.1797896666369703E-2</v>
      </c>
    </row>
    <row r="2807" spans="1:3" x14ac:dyDescent="0.3">
      <c r="A2807" s="335">
        <v>43290</v>
      </c>
      <c r="B2807">
        <v>311.63028000000003</v>
      </c>
      <c r="C2807" s="334">
        <f t="shared" si="43"/>
        <v>5.552475534673495E-3</v>
      </c>
    </row>
    <row r="2808" spans="1:3" x14ac:dyDescent="0.3">
      <c r="A2808" s="335">
        <v>43291</v>
      </c>
      <c r="B2808">
        <v>311.458191</v>
      </c>
      <c r="C2808" s="334">
        <f t="shared" si="43"/>
        <v>-5.5222169039551656E-4</v>
      </c>
    </row>
    <row r="2809" spans="1:3" x14ac:dyDescent="0.3">
      <c r="A2809" s="335">
        <v>43292</v>
      </c>
      <c r="B2809">
        <v>308.87704500000001</v>
      </c>
      <c r="C2809" s="334">
        <f t="shared" si="43"/>
        <v>-8.2872952922274871E-3</v>
      </c>
    </row>
    <row r="2810" spans="1:3" x14ac:dyDescent="0.3">
      <c r="A2810" s="335">
        <v>43293</v>
      </c>
      <c r="B2810">
        <v>311.63028000000003</v>
      </c>
      <c r="C2810" s="334">
        <f t="shared" si="43"/>
        <v>8.9136925018174062E-3</v>
      </c>
    </row>
    <row r="2811" spans="1:3" x14ac:dyDescent="0.3">
      <c r="A2811" s="335">
        <v>43294</v>
      </c>
      <c r="B2811">
        <v>312.14645400000001</v>
      </c>
      <c r="C2811" s="334">
        <f t="shared" si="43"/>
        <v>1.6563666406229141E-3</v>
      </c>
    </row>
    <row r="2812" spans="1:3" x14ac:dyDescent="0.3">
      <c r="A2812" s="335">
        <v>43297</v>
      </c>
      <c r="B2812">
        <v>313.00683600000002</v>
      </c>
      <c r="C2812" s="334">
        <f t="shared" si="43"/>
        <v>2.7563407784219631E-3</v>
      </c>
    </row>
    <row r="2813" spans="1:3" x14ac:dyDescent="0.3">
      <c r="A2813" s="335">
        <v>43298</v>
      </c>
      <c r="B2813">
        <v>317.82498199999998</v>
      </c>
      <c r="C2813" s="334">
        <f t="shared" si="43"/>
        <v>1.5393101510409044E-2</v>
      </c>
    </row>
    <row r="2814" spans="1:3" x14ac:dyDescent="0.3">
      <c r="A2814" s="335">
        <v>43299</v>
      </c>
      <c r="B2814">
        <v>319.71786500000002</v>
      </c>
      <c r="C2814" s="334">
        <f t="shared" si="43"/>
        <v>5.9557401312148595E-3</v>
      </c>
    </row>
    <row r="2815" spans="1:3" x14ac:dyDescent="0.3">
      <c r="A2815" s="335">
        <v>43300</v>
      </c>
      <c r="B2815">
        <v>320.57824699999998</v>
      </c>
      <c r="C2815" s="334">
        <f t="shared" si="43"/>
        <v>2.6910663875475294E-3</v>
      </c>
    </row>
    <row r="2816" spans="1:3" x14ac:dyDescent="0.3">
      <c r="A2816" s="335">
        <v>43301</v>
      </c>
      <c r="B2816">
        <v>320.40612800000002</v>
      </c>
      <c r="C2816" s="334">
        <f t="shared" si="43"/>
        <v>-5.3690168191590493E-4</v>
      </c>
    </row>
    <row r="2817" spans="1:3" x14ac:dyDescent="0.3">
      <c r="A2817" s="335">
        <v>43304</v>
      </c>
      <c r="B2817">
        <v>321.61068699999998</v>
      </c>
      <c r="C2817" s="334">
        <f t="shared" si="43"/>
        <v>3.7594755366225723E-3</v>
      </c>
    </row>
    <row r="2818" spans="1:3" x14ac:dyDescent="0.3">
      <c r="A2818" s="335">
        <v>43305</v>
      </c>
      <c r="B2818">
        <v>321.78277600000001</v>
      </c>
      <c r="C2818" s="334">
        <f t="shared" si="43"/>
        <v>5.3508483068545588E-4</v>
      </c>
    </row>
    <row r="2819" spans="1:3" x14ac:dyDescent="0.3">
      <c r="A2819" s="335">
        <v>43306</v>
      </c>
      <c r="B2819">
        <v>331.591095</v>
      </c>
      <c r="C2819" s="334">
        <f t="shared" si="43"/>
        <v>3.0481180882099116E-2</v>
      </c>
    </row>
    <row r="2820" spans="1:3" x14ac:dyDescent="0.3">
      <c r="A2820" s="335">
        <v>43307</v>
      </c>
      <c r="B2820">
        <v>332.279449</v>
      </c>
      <c r="C2820" s="334">
        <f t="shared" si="43"/>
        <v>2.0759122014419717E-3</v>
      </c>
    </row>
    <row r="2821" spans="1:3" x14ac:dyDescent="0.3">
      <c r="A2821" s="335">
        <v>43308</v>
      </c>
      <c r="B2821">
        <v>335.376801</v>
      </c>
      <c r="C2821" s="334">
        <f t="shared" si="43"/>
        <v>9.3215274351800218E-3</v>
      </c>
    </row>
    <row r="2822" spans="1:3" x14ac:dyDescent="0.3">
      <c r="A2822" s="335">
        <v>43311</v>
      </c>
      <c r="B2822">
        <v>337.95794699999999</v>
      </c>
      <c r="C2822" s="334">
        <f t="shared" ref="C2822:C2885" si="44">(B2822-B2821)/B2821</f>
        <v>7.6962568439550164E-3</v>
      </c>
    </row>
    <row r="2823" spans="1:3" x14ac:dyDescent="0.3">
      <c r="A2823" s="335">
        <v>43312</v>
      </c>
      <c r="B2823">
        <v>358.09088100000002</v>
      </c>
      <c r="C2823" s="334">
        <f t="shared" si="44"/>
        <v>5.9572305308151358E-2</v>
      </c>
    </row>
    <row r="2824" spans="1:3" x14ac:dyDescent="0.3">
      <c r="A2824" s="335">
        <v>43313</v>
      </c>
      <c r="B2824">
        <v>359.81161500000002</v>
      </c>
      <c r="C2824" s="334">
        <f t="shared" si="44"/>
        <v>4.8052996915048307E-3</v>
      </c>
    </row>
    <row r="2825" spans="1:3" x14ac:dyDescent="0.3">
      <c r="A2825" s="335">
        <v>43314</v>
      </c>
      <c r="B2825">
        <v>374.266052</v>
      </c>
      <c r="C2825" s="334">
        <f t="shared" si="44"/>
        <v>4.0172235685054201E-2</v>
      </c>
    </row>
    <row r="2826" spans="1:3" x14ac:dyDescent="0.3">
      <c r="A2826" s="335">
        <v>43315</v>
      </c>
      <c r="B2826">
        <v>358.95126299999998</v>
      </c>
      <c r="C2826" s="334">
        <f t="shared" si="44"/>
        <v>-4.0919524809052192E-2</v>
      </c>
    </row>
    <row r="2827" spans="1:3" x14ac:dyDescent="0.3">
      <c r="A2827" s="335">
        <v>43318</v>
      </c>
      <c r="B2827">
        <v>368.75964399999998</v>
      </c>
      <c r="C2827" s="334">
        <f t="shared" si="44"/>
        <v>2.7325105135512499E-2</v>
      </c>
    </row>
    <row r="2828" spans="1:3" x14ac:dyDescent="0.3">
      <c r="A2828" s="335">
        <v>43319</v>
      </c>
      <c r="B2828">
        <v>365.83431999999999</v>
      </c>
      <c r="C2828" s="334">
        <f t="shared" si="44"/>
        <v>-7.9328745636818906E-3</v>
      </c>
    </row>
    <row r="2829" spans="1:3" x14ac:dyDescent="0.3">
      <c r="A2829" s="335">
        <v>43320</v>
      </c>
      <c r="B2829">
        <v>376.67511000000002</v>
      </c>
      <c r="C2829" s="334">
        <f t="shared" si="44"/>
        <v>2.9633059030656356E-2</v>
      </c>
    </row>
    <row r="2830" spans="1:3" x14ac:dyDescent="0.3">
      <c r="A2830" s="335">
        <v>43321</v>
      </c>
      <c r="B2830">
        <v>370.48037699999998</v>
      </c>
      <c r="C2830" s="334">
        <f t="shared" si="44"/>
        <v>-1.6445825156857434E-2</v>
      </c>
    </row>
    <row r="2831" spans="1:3" x14ac:dyDescent="0.3">
      <c r="A2831" s="335">
        <v>43322</v>
      </c>
      <c r="B2831">
        <v>359.12332199999997</v>
      </c>
      <c r="C2831" s="334">
        <f t="shared" si="44"/>
        <v>-3.0654943433076898E-2</v>
      </c>
    </row>
    <row r="2832" spans="1:3" x14ac:dyDescent="0.3">
      <c r="A2832" s="335">
        <v>43325</v>
      </c>
      <c r="B2832">
        <v>355.68179300000003</v>
      </c>
      <c r="C2832" s="334">
        <f t="shared" si="44"/>
        <v>-9.5831397995364553E-3</v>
      </c>
    </row>
    <row r="2833" spans="1:3" x14ac:dyDescent="0.3">
      <c r="A2833" s="335">
        <v>43326</v>
      </c>
      <c r="B2833">
        <v>362.39276100000001</v>
      </c>
      <c r="C2833" s="334">
        <f t="shared" si="44"/>
        <v>1.8867898588219217E-2</v>
      </c>
    </row>
    <row r="2834" spans="1:3" x14ac:dyDescent="0.3">
      <c r="A2834" s="335">
        <v>43327</v>
      </c>
      <c r="B2834">
        <v>354.13311800000002</v>
      </c>
      <c r="C2834" s="334">
        <f t="shared" si="44"/>
        <v>-2.2791964655165899E-2</v>
      </c>
    </row>
    <row r="2835" spans="1:3" x14ac:dyDescent="0.3">
      <c r="A2835" s="335">
        <v>43328</v>
      </c>
      <c r="B2835">
        <v>359.46749899999998</v>
      </c>
      <c r="C2835" s="334">
        <f t="shared" si="44"/>
        <v>1.506320851923245E-2</v>
      </c>
    </row>
    <row r="2836" spans="1:3" x14ac:dyDescent="0.3">
      <c r="A2836" s="335">
        <v>43329</v>
      </c>
      <c r="B2836">
        <v>364.801849</v>
      </c>
      <c r="C2836" s="334">
        <f t="shared" si="44"/>
        <v>1.4839589155736245E-2</v>
      </c>
    </row>
    <row r="2837" spans="1:3" x14ac:dyDescent="0.3">
      <c r="A2837" s="335">
        <v>43332</v>
      </c>
      <c r="B2837">
        <v>368.24337800000001</v>
      </c>
      <c r="C2837" s="334">
        <f t="shared" si="44"/>
        <v>9.4339680827659478E-3</v>
      </c>
    </row>
    <row r="2838" spans="1:3" x14ac:dyDescent="0.3">
      <c r="A2838" s="335">
        <v>43333</v>
      </c>
      <c r="B2838">
        <v>362.73693800000001</v>
      </c>
      <c r="C2838" s="334">
        <f t="shared" si="44"/>
        <v>-1.4953262784809664E-2</v>
      </c>
    </row>
    <row r="2839" spans="1:3" x14ac:dyDescent="0.3">
      <c r="A2839" s="335">
        <v>43334</v>
      </c>
      <c r="B2839">
        <v>366.17849699999999</v>
      </c>
      <c r="C2839" s="334">
        <f t="shared" si="44"/>
        <v>9.4877544563713098E-3</v>
      </c>
    </row>
    <row r="2840" spans="1:3" x14ac:dyDescent="0.3">
      <c r="A2840" s="335">
        <v>43335</v>
      </c>
      <c r="B2840">
        <v>352.75650000000002</v>
      </c>
      <c r="C2840" s="334">
        <f t="shared" si="44"/>
        <v>-3.6654246794835622E-2</v>
      </c>
    </row>
    <row r="2841" spans="1:3" x14ac:dyDescent="0.3">
      <c r="A2841" s="335">
        <v>43336</v>
      </c>
      <c r="B2841">
        <v>343.29226699999998</v>
      </c>
      <c r="C2841" s="334">
        <f t="shared" si="44"/>
        <v>-2.6829365298725993E-2</v>
      </c>
    </row>
    <row r="2842" spans="1:3" x14ac:dyDescent="0.3">
      <c r="A2842" s="335">
        <v>43339</v>
      </c>
      <c r="B2842">
        <v>344.496826</v>
      </c>
      <c r="C2842" s="334">
        <f t="shared" si="44"/>
        <v>3.5088439670562621E-3</v>
      </c>
    </row>
    <row r="2843" spans="1:3" x14ac:dyDescent="0.3">
      <c r="A2843" s="335">
        <v>43340</v>
      </c>
      <c r="B2843">
        <v>344.15267899999998</v>
      </c>
      <c r="C2843" s="334">
        <f t="shared" si="44"/>
        <v>-9.9898453055709963E-4</v>
      </c>
    </row>
    <row r="2844" spans="1:3" x14ac:dyDescent="0.3">
      <c r="A2844" s="335">
        <v>43341</v>
      </c>
      <c r="B2844">
        <v>346.733856</v>
      </c>
      <c r="C2844" s="334">
        <f t="shared" si="44"/>
        <v>7.5000927132112356E-3</v>
      </c>
    </row>
    <row r="2845" spans="1:3" x14ac:dyDescent="0.3">
      <c r="A2845" s="335">
        <v>43342</v>
      </c>
      <c r="B2845">
        <v>347.59420799999998</v>
      </c>
      <c r="C2845" s="334">
        <f t="shared" si="44"/>
        <v>2.4813037005534805E-3</v>
      </c>
    </row>
    <row r="2846" spans="1:3" x14ac:dyDescent="0.3">
      <c r="A2846" s="335">
        <v>43343</v>
      </c>
      <c r="B2846">
        <v>347.76629600000001</v>
      </c>
      <c r="C2846" s="334">
        <f t="shared" si="44"/>
        <v>4.9508304810427296E-4</v>
      </c>
    </row>
    <row r="2847" spans="1:3" x14ac:dyDescent="0.3">
      <c r="A2847" s="335">
        <v>43346</v>
      </c>
      <c r="B2847">
        <v>350.51950099999999</v>
      </c>
      <c r="C2847" s="334">
        <f t="shared" si="44"/>
        <v>7.9168252693469169E-3</v>
      </c>
    </row>
    <row r="2848" spans="1:3" x14ac:dyDescent="0.3">
      <c r="A2848" s="335">
        <v>43347</v>
      </c>
      <c r="B2848">
        <v>350.51950099999999</v>
      </c>
      <c r="C2848" s="334">
        <f t="shared" si="44"/>
        <v>0</v>
      </c>
    </row>
    <row r="2849" spans="1:3" x14ac:dyDescent="0.3">
      <c r="A2849" s="335">
        <v>43348</v>
      </c>
      <c r="B2849">
        <v>352.58441199999999</v>
      </c>
      <c r="C2849" s="334">
        <f t="shared" si="44"/>
        <v>5.8910017676876564E-3</v>
      </c>
    </row>
    <row r="2850" spans="1:3" x14ac:dyDescent="0.3">
      <c r="A2850" s="335">
        <v>43349</v>
      </c>
      <c r="B2850">
        <v>349.31497200000001</v>
      </c>
      <c r="C2850" s="334">
        <f t="shared" si="44"/>
        <v>-9.2727865689081427E-3</v>
      </c>
    </row>
    <row r="2851" spans="1:3" x14ac:dyDescent="0.3">
      <c r="A2851" s="335">
        <v>43350</v>
      </c>
      <c r="B2851">
        <v>343.12023900000003</v>
      </c>
      <c r="C2851" s="334">
        <f t="shared" si="44"/>
        <v>-1.7733946428153628E-2</v>
      </c>
    </row>
    <row r="2852" spans="1:3" x14ac:dyDescent="0.3">
      <c r="A2852" s="335">
        <v>43353</v>
      </c>
      <c r="B2852">
        <v>349.48706099999998</v>
      </c>
      <c r="C2852" s="334">
        <f t="shared" si="44"/>
        <v>1.8555658560263349E-2</v>
      </c>
    </row>
    <row r="2853" spans="1:3" x14ac:dyDescent="0.3">
      <c r="A2853" s="335">
        <v>43354</v>
      </c>
      <c r="B2853">
        <v>348.97082499999999</v>
      </c>
      <c r="C2853" s="334">
        <f t="shared" si="44"/>
        <v>-1.4771247854580578E-3</v>
      </c>
    </row>
    <row r="2854" spans="1:3" x14ac:dyDescent="0.3">
      <c r="A2854" s="335">
        <v>43355</v>
      </c>
      <c r="B2854">
        <v>352.92858899999999</v>
      </c>
      <c r="C2854" s="334">
        <f t="shared" si="44"/>
        <v>1.1341246076946396E-2</v>
      </c>
    </row>
    <row r="2855" spans="1:3" x14ac:dyDescent="0.3">
      <c r="A2855" s="335">
        <v>43356</v>
      </c>
      <c r="B2855">
        <v>351.896118</v>
      </c>
      <c r="C2855" s="334">
        <f t="shared" si="44"/>
        <v>-2.9254388343132689E-3</v>
      </c>
    </row>
    <row r="2856" spans="1:3" x14ac:dyDescent="0.3">
      <c r="A2856" s="335">
        <v>43357</v>
      </c>
      <c r="B2856">
        <v>354.13311800000002</v>
      </c>
      <c r="C2856" s="334">
        <f t="shared" si="44"/>
        <v>6.3569897068316708E-3</v>
      </c>
    </row>
    <row r="2857" spans="1:3" x14ac:dyDescent="0.3">
      <c r="A2857" s="335">
        <v>43360</v>
      </c>
      <c r="B2857">
        <v>354.993469</v>
      </c>
      <c r="C2857" s="334">
        <f t="shared" si="44"/>
        <v>2.4294564847786421E-3</v>
      </c>
    </row>
    <row r="2858" spans="1:3" x14ac:dyDescent="0.3">
      <c r="A2858" s="335">
        <v>43361</v>
      </c>
      <c r="B2858">
        <v>359.12332199999997</v>
      </c>
      <c r="C2858" s="334">
        <f t="shared" si="44"/>
        <v>1.1633602757914311E-2</v>
      </c>
    </row>
    <row r="2859" spans="1:3" x14ac:dyDescent="0.3">
      <c r="A2859" s="335">
        <v>43362</v>
      </c>
      <c r="B2859">
        <v>352.41235399999999</v>
      </c>
      <c r="C2859" s="334">
        <f t="shared" si="44"/>
        <v>-1.8687084878324836E-2</v>
      </c>
    </row>
    <row r="2860" spans="1:3" x14ac:dyDescent="0.3">
      <c r="A2860" s="335">
        <v>43363</v>
      </c>
      <c r="B2860">
        <v>356.88632200000001</v>
      </c>
      <c r="C2860" s="334">
        <f t="shared" si="44"/>
        <v>1.2695264366356504E-2</v>
      </c>
    </row>
    <row r="2861" spans="1:3" x14ac:dyDescent="0.3">
      <c r="A2861" s="335">
        <v>43364</v>
      </c>
      <c r="B2861">
        <v>347.59420799999998</v>
      </c>
      <c r="C2861" s="334">
        <f t="shared" si="44"/>
        <v>-2.6036621263394975E-2</v>
      </c>
    </row>
    <row r="2862" spans="1:3" x14ac:dyDescent="0.3">
      <c r="A2862" s="335">
        <v>43367</v>
      </c>
      <c r="B2862">
        <v>356.88632200000001</v>
      </c>
      <c r="C2862" s="334">
        <f t="shared" si="44"/>
        <v>2.6732649124003891E-2</v>
      </c>
    </row>
    <row r="2863" spans="1:3" x14ac:dyDescent="0.3">
      <c r="A2863" s="335">
        <v>43368</v>
      </c>
      <c r="B2863">
        <v>357.05841099999998</v>
      </c>
      <c r="C2863" s="334">
        <f t="shared" si="44"/>
        <v>4.8219556029936977E-4</v>
      </c>
    </row>
    <row r="2864" spans="1:3" x14ac:dyDescent="0.3">
      <c r="A2864" s="335">
        <v>43369</v>
      </c>
      <c r="B2864">
        <v>352.240295</v>
      </c>
      <c r="C2864" s="334">
        <f t="shared" si="44"/>
        <v>-1.3493915425507159E-2</v>
      </c>
    </row>
    <row r="2865" spans="1:3" x14ac:dyDescent="0.3">
      <c r="A2865" s="335">
        <v>43370</v>
      </c>
      <c r="B2865">
        <v>351.55197099999998</v>
      </c>
      <c r="C2865" s="334">
        <f t="shared" si="44"/>
        <v>-1.9541319087301549E-3</v>
      </c>
    </row>
    <row r="2866" spans="1:3" x14ac:dyDescent="0.3">
      <c r="A2866" s="335">
        <v>43371</v>
      </c>
      <c r="B2866">
        <v>349.48706099999998</v>
      </c>
      <c r="C2866" s="334">
        <f t="shared" si="44"/>
        <v>-5.8736976900635772E-3</v>
      </c>
    </row>
    <row r="2867" spans="1:3" x14ac:dyDescent="0.3">
      <c r="A2867" s="335">
        <v>43374</v>
      </c>
      <c r="B2867">
        <v>367.03884900000003</v>
      </c>
      <c r="C2867" s="334">
        <f t="shared" si="44"/>
        <v>5.0221567430217523E-2</v>
      </c>
    </row>
    <row r="2868" spans="1:3" x14ac:dyDescent="0.3">
      <c r="A2868" s="335">
        <v>43375</v>
      </c>
      <c r="B2868">
        <v>377.01928700000002</v>
      </c>
      <c r="C2868" s="334">
        <f t="shared" si="44"/>
        <v>2.7191775549623064E-2</v>
      </c>
    </row>
    <row r="2869" spans="1:3" x14ac:dyDescent="0.3">
      <c r="A2869" s="335">
        <v>43376</v>
      </c>
      <c r="B2869">
        <v>383.730255</v>
      </c>
      <c r="C2869" s="334">
        <f t="shared" si="44"/>
        <v>1.7800065491079185E-2</v>
      </c>
    </row>
    <row r="2870" spans="1:3" x14ac:dyDescent="0.3">
      <c r="A2870" s="335">
        <v>43377</v>
      </c>
      <c r="B2870">
        <v>376.84719799999999</v>
      </c>
      <c r="C2870" s="334">
        <f t="shared" si="44"/>
        <v>-1.793722780602746E-2</v>
      </c>
    </row>
    <row r="2871" spans="1:3" x14ac:dyDescent="0.3">
      <c r="A2871" s="335">
        <v>43378</v>
      </c>
      <c r="B2871">
        <v>373.40564000000001</v>
      </c>
      <c r="C2871" s="334">
        <f t="shared" si="44"/>
        <v>-9.1325025587691549E-3</v>
      </c>
    </row>
    <row r="2872" spans="1:3" x14ac:dyDescent="0.3">
      <c r="A2872" s="335">
        <v>43381</v>
      </c>
      <c r="B2872">
        <v>373.57772799999998</v>
      </c>
      <c r="C2872" s="334">
        <f t="shared" si="44"/>
        <v>4.608607411499564E-4</v>
      </c>
    </row>
    <row r="2873" spans="1:3" x14ac:dyDescent="0.3">
      <c r="A2873" s="335">
        <v>43382</v>
      </c>
      <c r="B2873">
        <v>364.62976099999997</v>
      </c>
      <c r="C2873" s="334">
        <f t="shared" si="44"/>
        <v>-2.3952089028176769E-2</v>
      </c>
    </row>
    <row r="2874" spans="1:3" x14ac:dyDescent="0.3">
      <c r="A2874" s="335">
        <v>43383</v>
      </c>
      <c r="B2874">
        <v>360.49993899999998</v>
      </c>
      <c r="C2874" s="334">
        <f t="shared" si="44"/>
        <v>-1.1326069459261694E-2</v>
      </c>
    </row>
    <row r="2875" spans="1:3" x14ac:dyDescent="0.3">
      <c r="A2875" s="335">
        <v>43384</v>
      </c>
      <c r="B2875">
        <v>358.95126299999998</v>
      </c>
      <c r="C2875" s="334">
        <f t="shared" si="44"/>
        <v>-4.295911961305493E-3</v>
      </c>
    </row>
    <row r="2876" spans="1:3" x14ac:dyDescent="0.3">
      <c r="A2876" s="335">
        <v>43385</v>
      </c>
      <c r="B2876">
        <v>369.44790599999999</v>
      </c>
      <c r="C2876" s="334">
        <f t="shared" si="44"/>
        <v>2.9242529786000521E-2</v>
      </c>
    </row>
    <row r="2877" spans="1:3" x14ac:dyDescent="0.3">
      <c r="A2877" s="335">
        <v>43388</v>
      </c>
      <c r="B2877">
        <v>372.88943499999999</v>
      </c>
      <c r="C2877" s="334">
        <f t="shared" si="44"/>
        <v>9.3153295609692873E-3</v>
      </c>
    </row>
    <row r="2878" spans="1:3" x14ac:dyDescent="0.3">
      <c r="A2878" s="335">
        <v>43389</v>
      </c>
      <c r="B2878">
        <v>378.39584400000001</v>
      </c>
      <c r="C2878" s="334">
        <f t="shared" si="44"/>
        <v>1.4766867825043151E-2</v>
      </c>
    </row>
    <row r="2879" spans="1:3" x14ac:dyDescent="0.3">
      <c r="A2879" s="335">
        <v>43390</v>
      </c>
      <c r="B2879">
        <v>374.61019900000002</v>
      </c>
      <c r="C2879" s="334">
        <f t="shared" si="44"/>
        <v>-1.0004457131405461E-2</v>
      </c>
    </row>
    <row r="2880" spans="1:3" x14ac:dyDescent="0.3">
      <c r="A2880" s="335">
        <v>43391</v>
      </c>
      <c r="B2880">
        <v>371.34075899999999</v>
      </c>
      <c r="C2880" s="334">
        <f t="shared" si="44"/>
        <v>-8.7275787170974246E-3</v>
      </c>
    </row>
    <row r="2881" spans="1:3" x14ac:dyDescent="0.3">
      <c r="A2881" s="335">
        <v>43392</v>
      </c>
      <c r="B2881">
        <v>379.60043300000001</v>
      </c>
      <c r="C2881" s="334">
        <f t="shared" si="44"/>
        <v>2.224284245619269E-2</v>
      </c>
    </row>
    <row r="2882" spans="1:3" x14ac:dyDescent="0.3">
      <c r="A2882" s="335">
        <v>43395</v>
      </c>
      <c r="B2882">
        <v>368.415436</v>
      </c>
      <c r="C2882" s="334">
        <f t="shared" si="44"/>
        <v>-2.9465185041029733E-2</v>
      </c>
    </row>
    <row r="2883" spans="1:3" x14ac:dyDescent="0.3">
      <c r="A2883" s="335">
        <v>43396</v>
      </c>
      <c r="B2883">
        <v>368.24337800000001</v>
      </c>
      <c r="C2883" s="334">
        <f t="shared" si="44"/>
        <v>-4.6702169124095204E-4</v>
      </c>
    </row>
    <row r="2884" spans="1:3" x14ac:dyDescent="0.3">
      <c r="A2884" s="335">
        <v>43397</v>
      </c>
      <c r="B2884">
        <v>365.66223100000002</v>
      </c>
      <c r="C2884" s="334">
        <f t="shared" si="44"/>
        <v>-7.0093507560643415E-3</v>
      </c>
    </row>
    <row r="2885" spans="1:3" x14ac:dyDescent="0.3">
      <c r="A2885" s="335">
        <v>43398</v>
      </c>
      <c r="B2885">
        <v>369.96414199999998</v>
      </c>
      <c r="C2885" s="334">
        <f t="shared" si="44"/>
        <v>1.1764712445787055E-2</v>
      </c>
    </row>
    <row r="2886" spans="1:3" x14ac:dyDescent="0.3">
      <c r="A2886" s="335">
        <v>43399</v>
      </c>
      <c r="B2886">
        <v>367.55508400000002</v>
      </c>
      <c r="C2886" s="334">
        <f t="shared" ref="C2886:C2949" si="45">(B2886-B2885)/B2885</f>
        <v>-6.5115986294692289E-3</v>
      </c>
    </row>
    <row r="2887" spans="1:3" x14ac:dyDescent="0.3">
      <c r="A2887" s="335">
        <v>43402</v>
      </c>
      <c r="B2887">
        <v>371.68490600000001</v>
      </c>
      <c r="C2887" s="334">
        <f t="shared" si="45"/>
        <v>1.1235926748873347E-2</v>
      </c>
    </row>
    <row r="2888" spans="1:3" x14ac:dyDescent="0.3">
      <c r="A2888" s="335">
        <v>43403</v>
      </c>
      <c r="B2888">
        <v>369.10376000000002</v>
      </c>
      <c r="C2888" s="334">
        <f t="shared" si="45"/>
        <v>-6.9444466491194821E-3</v>
      </c>
    </row>
    <row r="2889" spans="1:3" x14ac:dyDescent="0.3">
      <c r="A2889" s="335">
        <v>43404</v>
      </c>
      <c r="B2889">
        <v>382.86987299999998</v>
      </c>
      <c r="C2889" s="334">
        <f t="shared" si="45"/>
        <v>3.7296051928595801E-2</v>
      </c>
    </row>
    <row r="2890" spans="1:3" x14ac:dyDescent="0.3">
      <c r="A2890" s="335">
        <v>43405</v>
      </c>
      <c r="B2890">
        <v>382.35363799999999</v>
      </c>
      <c r="C2890" s="334">
        <f t="shared" si="45"/>
        <v>-1.3483301675188079E-3</v>
      </c>
    </row>
    <row r="2891" spans="1:3" x14ac:dyDescent="0.3">
      <c r="A2891" s="335">
        <v>43406</v>
      </c>
      <c r="B2891">
        <v>386.31137100000001</v>
      </c>
      <c r="C2891" s="334">
        <f t="shared" si="45"/>
        <v>1.0350975135745979E-2</v>
      </c>
    </row>
    <row r="2892" spans="1:3" x14ac:dyDescent="0.3">
      <c r="A2892" s="335">
        <v>43409</v>
      </c>
      <c r="B2892">
        <v>389.75292999999999</v>
      </c>
      <c r="C2892" s="334">
        <f t="shared" si="45"/>
        <v>8.9087696049205446E-3</v>
      </c>
    </row>
    <row r="2893" spans="1:3" x14ac:dyDescent="0.3">
      <c r="A2893" s="335">
        <v>43410</v>
      </c>
      <c r="B2893">
        <v>391.129547</v>
      </c>
      <c r="C2893" s="334">
        <f t="shared" si="45"/>
        <v>3.5320247624565908E-3</v>
      </c>
    </row>
    <row r="2894" spans="1:3" x14ac:dyDescent="0.3">
      <c r="A2894" s="335">
        <v>43411</v>
      </c>
      <c r="B2894">
        <v>386.82763699999998</v>
      </c>
      <c r="C2894" s="334">
        <f t="shared" si="45"/>
        <v>-1.0998683257238096E-2</v>
      </c>
    </row>
    <row r="2895" spans="1:3" x14ac:dyDescent="0.3">
      <c r="A2895" s="335">
        <v>43412</v>
      </c>
      <c r="B2895">
        <v>391.81781000000001</v>
      </c>
      <c r="C2895" s="334">
        <f t="shared" si="45"/>
        <v>1.2900249420389856E-2</v>
      </c>
    </row>
    <row r="2896" spans="1:3" x14ac:dyDescent="0.3">
      <c r="A2896" s="335">
        <v>43413</v>
      </c>
      <c r="B2896">
        <v>434.49276700000001</v>
      </c>
      <c r="C2896" s="334">
        <f t="shared" si="45"/>
        <v>0.10891530683610325</v>
      </c>
    </row>
    <row r="2897" spans="1:3" x14ac:dyDescent="0.3">
      <c r="A2897" s="335">
        <v>43416</v>
      </c>
      <c r="B2897">
        <v>420.03839099999999</v>
      </c>
      <c r="C2897" s="334">
        <f t="shared" si="45"/>
        <v>-3.3267241937769761E-2</v>
      </c>
    </row>
    <row r="2898" spans="1:3" x14ac:dyDescent="0.3">
      <c r="A2898" s="335">
        <v>43417</v>
      </c>
      <c r="B2898">
        <v>438.36447099999998</v>
      </c>
      <c r="C2898" s="334">
        <f t="shared" si="45"/>
        <v>4.3629535758315935E-2</v>
      </c>
    </row>
    <row r="2899" spans="1:3" x14ac:dyDescent="0.3">
      <c r="A2899" s="335">
        <v>43418</v>
      </c>
      <c r="B2899">
        <v>438.79467799999998</v>
      </c>
      <c r="C2899" s="334">
        <f t="shared" si="45"/>
        <v>9.8139112190959426E-4</v>
      </c>
    </row>
    <row r="2900" spans="1:3" x14ac:dyDescent="0.3">
      <c r="A2900" s="335">
        <v>43419</v>
      </c>
      <c r="B2900">
        <v>423.65197799999999</v>
      </c>
      <c r="C2900" s="334">
        <f t="shared" si="45"/>
        <v>-3.4509762217307456E-2</v>
      </c>
    </row>
    <row r="2901" spans="1:3" x14ac:dyDescent="0.3">
      <c r="A2901" s="335">
        <v>43420</v>
      </c>
      <c r="B2901">
        <v>419.00589000000002</v>
      </c>
      <c r="C2901" s="334">
        <f t="shared" si="45"/>
        <v>-1.0966756302976504E-2</v>
      </c>
    </row>
    <row r="2902" spans="1:3" x14ac:dyDescent="0.3">
      <c r="A2902" s="335">
        <v>43423</v>
      </c>
      <c r="B2902">
        <v>423.30779999999999</v>
      </c>
      <c r="C2902" s="334">
        <f t="shared" si="45"/>
        <v>1.026694398019074E-2</v>
      </c>
    </row>
    <row r="2903" spans="1:3" x14ac:dyDescent="0.3">
      <c r="A2903" s="335">
        <v>43424</v>
      </c>
      <c r="B2903">
        <v>406.96054099999998</v>
      </c>
      <c r="C2903" s="334">
        <f t="shared" si="45"/>
        <v>-3.8617901678164229E-2</v>
      </c>
    </row>
    <row r="2904" spans="1:3" x14ac:dyDescent="0.3">
      <c r="A2904" s="335">
        <v>43425</v>
      </c>
      <c r="B2904">
        <v>416.59683200000001</v>
      </c>
      <c r="C2904" s="334">
        <f t="shared" si="45"/>
        <v>2.3678686332393166E-2</v>
      </c>
    </row>
    <row r="2905" spans="1:3" x14ac:dyDescent="0.3">
      <c r="A2905" s="335">
        <v>43426</v>
      </c>
      <c r="B2905">
        <v>402.31448399999999</v>
      </c>
      <c r="C2905" s="334">
        <f t="shared" si="45"/>
        <v>-3.428338120439671E-2</v>
      </c>
    </row>
    <row r="2906" spans="1:3" x14ac:dyDescent="0.3">
      <c r="A2906" s="335">
        <v>43427</v>
      </c>
      <c r="B2906">
        <v>400.24960299999998</v>
      </c>
      <c r="C2906" s="334">
        <f t="shared" si="45"/>
        <v>-5.1325047496923182E-3</v>
      </c>
    </row>
    <row r="2907" spans="1:3" x14ac:dyDescent="0.3">
      <c r="A2907" s="335">
        <v>43430</v>
      </c>
      <c r="B2907">
        <v>400.93786599999999</v>
      </c>
      <c r="C2907" s="334">
        <f t="shared" si="45"/>
        <v>1.7195844663961011E-3</v>
      </c>
    </row>
    <row r="2908" spans="1:3" x14ac:dyDescent="0.3">
      <c r="A2908" s="335">
        <v>43431</v>
      </c>
      <c r="B2908">
        <v>400.42166099999997</v>
      </c>
      <c r="C2908" s="334">
        <f t="shared" si="45"/>
        <v>-1.2874937584468852E-3</v>
      </c>
    </row>
    <row r="2909" spans="1:3" x14ac:dyDescent="0.3">
      <c r="A2909" s="335">
        <v>43432</v>
      </c>
      <c r="B2909">
        <v>402.65863000000002</v>
      </c>
      <c r="C2909" s="334">
        <f t="shared" si="45"/>
        <v>5.5865334418060981E-3</v>
      </c>
    </row>
    <row r="2910" spans="1:3" x14ac:dyDescent="0.3">
      <c r="A2910" s="335">
        <v>43433</v>
      </c>
      <c r="B2910">
        <v>419.86630200000002</v>
      </c>
      <c r="C2910" s="334">
        <f t="shared" si="45"/>
        <v>4.2735137702127488E-2</v>
      </c>
    </row>
    <row r="2911" spans="1:3" x14ac:dyDescent="0.3">
      <c r="A2911" s="335">
        <v>43434</v>
      </c>
      <c r="B2911">
        <v>416.94097900000003</v>
      </c>
      <c r="C2911" s="334">
        <f t="shared" si="45"/>
        <v>-6.9672726438522129E-3</v>
      </c>
    </row>
    <row r="2912" spans="1:3" x14ac:dyDescent="0.3">
      <c r="A2912" s="335">
        <v>43437</v>
      </c>
      <c r="B2912">
        <v>412.46701000000002</v>
      </c>
      <c r="C2912" s="334">
        <f t="shared" si="45"/>
        <v>-1.0730461205157794E-2</v>
      </c>
    </row>
    <row r="2913" spans="1:3" x14ac:dyDescent="0.3">
      <c r="A2913" s="335">
        <v>43438</v>
      </c>
      <c r="B2913">
        <v>419.52212500000002</v>
      </c>
      <c r="C2913" s="334">
        <f t="shared" si="45"/>
        <v>1.7104677050414286E-2</v>
      </c>
    </row>
    <row r="2914" spans="1:3" x14ac:dyDescent="0.3">
      <c r="A2914" s="335">
        <v>43439</v>
      </c>
      <c r="B2914">
        <v>409.36962899999997</v>
      </c>
      <c r="C2914" s="334">
        <f t="shared" si="45"/>
        <v>-2.4200144390477716E-2</v>
      </c>
    </row>
    <row r="2915" spans="1:3" x14ac:dyDescent="0.3">
      <c r="A2915" s="335">
        <v>43440</v>
      </c>
      <c r="B2915">
        <v>402.31448399999999</v>
      </c>
      <c r="C2915" s="334">
        <f t="shared" si="45"/>
        <v>-1.7234168097018214E-2</v>
      </c>
    </row>
    <row r="2916" spans="1:3" x14ac:dyDescent="0.3">
      <c r="A2916" s="335">
        <v>43441</v>
      </c>
      <c r="B2916">
        <v>404.37939499999999</v>
      </c>
      <c r="C2916" s="334">
        <f t="shared" si="45"/>
        <v>5.1325793182230919E-3</v>
      </c>
    </row>
    <row r="2917" spans="1:3" x14ac:dyDescent="0.3">
      <c r="A2917" s="335">
        <v>43444</v>
      </c>
      <c r="B2917">
        <v>403.17486600000001</v>
      </c>
      <c r="C2917" s="334">
        <f t="shared" si="45"/>
        <v>-2.9787101293822834E-3</v>
      </c>
    </row>
    <row r="2918" spans="1:3" x14ac:dyDescent="0.3">
      <c r="A2918" s="335">
        <v>43445</v>
      </c>
      <c r="B2918">
        <v>398.35672</v>
      </c>
      <c r="C2918" s="334">
        <f t="shared" si="45"/>
        <v>-1.1950511815882919E-2</v>
      </c>
    </row>
    <row r="2919" spans="1:3" x14ac:dyDescent="0.3">
      <c r="A2919" s="335">
        <v>43446</v>
      </c>
      <c r="B2919">
        <v>400.07748400000003</v>
      </c>
      <c r="C2919" s="334">
        <f t="shared" si="45"/>
        <v>4.3196560108237437E-3</v>
      </c>
    </row>
    <row r="2920" spans="1:3" x14ac:dyDescent="0.3">
      <c r="A2920" s="335">
        <v>43447</v>
      </c>
      <c r="B2920">
        <v>400.07748400000003</v>
      </c>
      <c r="C2920" s="334">
        <f t="shared" si="45"/>
        <v>0</v>
      </c>
    </row>
    <row r="2921" spans="1:3" x14ac:dyDescent="0.3">
      <c r="A2921" s="335">
        <v>43448</v>
      </c>
      <c r="B2921">
        <v>384.41854899999998</v>
      </c>
      <c r="C2921" s="334">
        <f t="shared" si="45"/>
        <v>-3.9139755737916108E-2</v>
      </c>
    </row>
    <row r="2922" spans="1:3" x14ac:dyDescent="0.3">
      <c r="A2922" s="335">
        <v>43451</v>
      </c>
      <c r="B2922">
        <v>394.398956</v>
      </c>
      <c r="C2922" s="334">
        <f t="shared" si="45"/>
        <v>2.5962345016811387E-2</v>
      </c>
    </row>
    <row r="2923" spans="1:3" x14ac:dyDescent="0.3">
      <c r="A2923" s="335">
        <v>43452</v>
      </c>
      <c r="B2923">
        <v>393.88275099999998</v>
      </c>
      <c r="C2923" s="334">
        <f t="shared" si="45"/>
        <v>-1.3088396714721871E-3</v>
      </c>
    </row>
    <row r="2924" spans="1:3" x14ac:dyDescent="0.3">
      <c r="A2924" s="335">
        <v>43453</v>
      </c>
      <c r="B2924">
        <v>413.671539</v>
      </c>
      <c r="C2924" s="334">
        <f t="shared" si="45"/>
        <v>5.0240301078835543E-2</v>
      </c>
    </row>
    <row r="2925" spans="1:3" x14ac:dyDescent="0.3">
      <c r="A2925" s="335">
        <v>43454</v>
      </c>
      <c r="B2925">
        <v>390.09704599999998</v>
      </c>
      <c r="C2925" s="334">
        <f t="shared" si="45"/>
        <v>-5.6988433521407957E-2</v>
      </c>
    </row>
    <row r="2926" spans="1:3" x14ac:dyDescent="0.3">
      <c r="A2926" s="335">
        <v>43455</v>
      </c>
      <c r="B2926">
        <v>384.41854899999998</v>
      </c>
      <c r="C2926" s="334">
        <f t="shared" si="45"/>
        <v>-1.455662650672826E-2</v>
      </c>
    </row>
    <row r="2927" spans="1:3" x14ac:dyDescent="0.3">
      <c r="A2927" s="335">
        <v>43461</v>
      </c>
      <c r="B2927">
        <v>369.96414199999998</v>
      </c>
      <c r="C2927" s="334">
        <f t="shared" si="45"/>
        <v>-3.7600701208619365E-2</v>
      </c>
    </row>
    <row r="2928" spans="1:3" x14ac:dyDescent="0.3">
      <c r="A2928" s="335">
        <v>43462</v>
      </c>
      <c r="B2928">
        <v>368.24337800000001</v>
      </c>
      <c r="C2928" s="334">
        <f t="shared" si="45"/>
        <v>-4.6511642741851843E-3</v>
      </c>
    </row>
    <row r="2929" spans="1:3" x14ac:dyDescent="0.3">
      <c r="A2929" s="335">
        <v>43467</v>
      </c>
      <c r="B2929">
        <v>369.96414199999998</v>
      </c>
      <c r="C2929" s="334">
        <f t="shared" si="45"/>
        <v>4.6728986936459566E-3</v>
      </c>
    </row>
    <row r="2930" spans="1:3" x14ac:dyDescent="0.3">
      <c r="A2930" s="335">
        <v>43468</v>
      </c>
      <c r="B2930">
        <v>364.11352499999998</v>
      </c>
      <c r="C2930" s="334">
        <f t="shared" si="45"/>
        <v>-1.5814010969744198E-2</v>
      </c>
    </row>
    <row r="2931" spans="1:3" x14ac:dyDescent="0.3">
      <c r="A2931" s="335">
        <v>43469</v>
      </c>
      <c r="B2931">
        <v>372.88943499999999</v>
      </c>
      <c r="C2931" s="334">
        <f t="shared" si="45"/>
        <v>2.4102125841109611E-2</v>
      </c>
    </row>
    <row r="2932" spans="1:3" x14ac:dyDescent="0.3">
      <c r="A2932" s="335">
        <v>43472</v>
      </c>
      <c r="B2932">
        <v>363.76937900000001</v>
      </c>
      <c r="C2932" s="334">
        <f t="shared" si="45"/>
        <v>-2.4457802082807675E-2</v>
      </c>
    </row>
    <row r="2933" spans="1:3" x14ac:dyDescent="0.3">
      <c r="A2933" s="335">
        <v>43473</v>
      </c>
      <c r="B2933">
        <v>361.70446800000002</v>
      </c>
      <c r="C2933" s="334">
        <f t="shared" si="45"/>
        <v>-5.6764288563166693E-3</v>
      </c>
    </row>
    <row r="2934" spans="1:3" x14ac:dyDescent="0.3">
      <c r="A2934" s="335">
        <v>43474</v>
      </c>
      <c r="B2934">
        <v>368.07128899999998</v>
      </c>
      <c r="C2934" s="334">
        <f t="shared" si="45"/>
        <v>1.7602273577665507E-2</v>
      </c>
    </row>
    <row r="2935" spans="1:3" x14ac:dyDescent="0.3">
      <c r="A2935" s="335">
        <v>43475</v>
      </c>
      <c r="B2935">
        <v>374.78225700000002</v>
      </c>
      <c r="C2935" s="334">
        <f t="shared" si="45"/>
        <v>1.823279402811567E-2</v>
      </c>
    </row>
    <row r="2936" spans="1:3" x14ac:dyDescent="0.3">
      <c r="A2936" s="335">
        <v>43476</v>
      </c>
      <c r="B2936">
        <v>368.24337800000001</v>
      </c>
      <c r="C2936" s="334">
        <f t="shared" si="45"/>
        <v>-1.74471413143766E-2</v>
      </c>
    </row>
    <row r="2937" spans="1:3" x14ac:dyDescent="0.3">
      <c r="A2937" s="335">
        <v>43479</v>
      </c>
      <c r="B2937">
        <v>368.24337800000001</v>
      </c>
      <c r="C2937" s="334">
        <f t="shared" si="45"/>
        <v>0</v>
      </c>
    </row>
    <row r="2938" spans="1:3" x14ac:dyDescent="0.3">
      <c r="A2938" s="335">
        <v>43480</v>
      </c>
      <c r="B2938">
        <v>369.61999500000002</v>
      </c>
      <c r="C2938" s="334">
        <f t="shared" si="45"/>
        <v>3.7383347053698006E-3</v>
      </c>
    </row>
    <row r="2939" spans="1:3" x14ac:dyDescent="0.3">
      <c r="A2939" s="335">
        <v>43481</v>
      </c>
      <c r="B2939">
        <v>370.48037699999998</v>
      </c>
      <c r="C2939" s="334">
        <f t="shared" si="45"/>
        <v>2.3277474477536278E-3</v>
      </c>
    </row>
    <row r="2940" spans="1:3" x14ac:dyDescent="0.3">
      <c r="A2940" s="335">
        <v>43482</v>
      </c>
      <c r="B2940">
        <v>368.24337800000001</v>
      </c>
      <c r="C2940" s="334">
        <f t="shared" si="45"/>
        <v>-6.038103875066962E-3</v>
      </c>
    </row>
    <row r="2941" spans="1:3" x14ac:dyDescent="0.3">
      <c r="A2941" s="335">
        <v>43483</v>
      </c>
      <c r="B2941">
        <v>381.14910900000001</v>
      </c>
      <c r="C2941" s="334">
        <f t="shared" si="45"/>
        <v>3.5046742917940542E-2</v>
      </c>
    </row>
    <row r="2942" spans="1:3" x14ac:dyDescent="0.3">
      <c r="A2942" s="335">
        <v>43486</v>
      </c>
      <c r="B2942">
        <v>385.45101899999997</v>
      </c>
      <c r="C2942" s="334">
        <f t="shared" si="45"/>
        <v>1.1286685180208473E-2</v>
      </c>
    </row>
    <row r="2943" spans="1:3" x14ac:dyDescent="0.3">
      <c r="A2943" s="335">
        <v>43487</v>
      </c>
      <c r="B2943">
        <v>383.386078</v>
      </c>
      <c r="C2943" s="334">
        <f t="shared" si="45"/>
        <v>-5.35720726684595E-3</v>
      </c>
    </row>
    <row r="2944" spans="1:3" x14ac:dyDescent="0.3">
      <c r="A2944" s="335">
        <v>43488</v>
      </c>
      <c r="B2944">
        <v>379.772491</v>
      </c>
      <c r="C2944" s="334">
        <f t="shared" si="45"/>
        <v>-9.4254518026603857E-3</v>
      </c>
    </row>
    <row r="2945" spans="1:3" x14ac:dyDescent="0.3">
      <c r="A2945" s="335">
        <v>43489</v>
      </c>
      <c r="B2945">
        <v>380.28869600000002</v>
      </c>
      <c r="C2945" s="334">
        <f t="shared" si="45"/>
        <v>1.3592480030366748E-3</v>
      </c>
    </row>
    <row r="2946" spans="1:3" x14ac:dyDescent="0.3">
      <c r="A2946" s="335">
        <v>43490</v>
      </c>
      <c r="B2946">
        <v>378.56796300000002</v>
      </c>
      <c r="C2946" s="334">
        <f t="shared" si="45"/>
        <v>-4.524807121797792E-3</v>
      </c>
    </row>
    <row r="2947" spans="1:3" x14ac:dyDescent="0.3">
      <c r="A2947" s="335">
        <v>43493</v>
      </c>
      <c r="B2947">
        <v>372.373199</v>
      </c>
      <c r="C2947" s="334">
        <f t="shared" si="45"/>
        <v>-1.6363677345829764E-2</v>
      </c>
    </row>
    <row r="2948" spans="1:3" x14ac:dyDescent="0.3">
      <c r="A2948" s="335">
        <v>43494</v>
      </c>
      <c r="B2948">
        <v>380.11663800000002</v>
      </c>
      <c r="C2948" s="334">
        <f t="shared" si="45"/>
        <v>2.0794834377970427E-2</v>
      </c>
    </row>
    <row r="2949" spans="1:3" x14ac:dyDescent="0.3">
      <c r="A2949" s="335">
        <v>43495</v>
      </c>
      <c r="B2949">
        <v>382.52572600000002</v>
      </c>
      <c r="C2949" s="334">
        <f t="shared" si="45"/>
        <v>6.3377599377799319E-3</v>
      </c>
    </row>
    <row r="2950" spans="1:3" x14ac:dyDescent="0.3">
      <c r="A2950" s="335">
        <v>43496</v>
      </c>
      <c r="B2950">
        <v>379.42834499999998</v>
      </c>
      <c r="C2950" s="334">
        <f t="shared" ref="C2950:C3013" si="46">(B2950-B2949)/B2949</f>
        <v>-8.0971835081231659E-3</v>
      </c>
    </row>
    <row r="2951" spans="1:3" x14ac:dyDescent="0.3">
      <c r="A2951" s="335">
        <v>43497</v>
      </c>
      <c r="B2951">
        <v>369.96414199999998</v>
      </c>
      <c r="C2951" s="334">
        <f t="shared" si="46"/>
        <v>-2.4943320984624904E-2</v>
      </c>
    </row>
    <row r="2952" spans="1:3" x14ac:dyDescent="0.3">
      <c r="A2952" s="335">
        <v>43500</v>
      </c>
      <c r="B2952">
        <v>370.99658199999999</v>
      </c>
      <c r="C2952" s="334">
        <f t="shared" si="46"/>
        <v>2.7906488299614947E-3</v>
      </c>
    </row>
    <row r="2953" spans="1:3" x14ac:dyDescent="0.3">
      <c r="A2953" s="335">
        <v>43501</v>
      </c>
      <c r="B2953">
        <v>377.87966899999998</v>
      </c>
      <c r="C2953" s="334">
        <f t="shared" si="46"/>
        <v>1.8552966075574221E-2</v>
      </c>
    </row>
    <row r="2954" spans="1:3" x14ac:dyDescent="0.3">
      <c r="A2954" s="335">
        <v>43502</v>
      </c>
      <c r="B2954">
        <v>379.60043300000001</v>
      </c>
      <c r="C2954" s="334">
        <f t="shared" si="46"/>
        <v>4.5537353320800941E-3</v>
      </c>
    </row>
    <row r="2955" spans="1:3" x14ac:dyDescent="0.3">
      <c r="A2955" s="335">
        <v>43503</v>
      </c>
      <c r="B2955">
        <v>385.10687300000001</v>
      </c>
      <c r="C2955" s="334">
        <f t="shared" si="46"/>
        <v>1.4505884401875795E-2</v>
      </c>
    </row>
    <row r="2956" spans="1:3" x14ac:dyDescent="0.3">
      <c r="A2956" s="335">
        <v>43504</v>
      </c>
      <c r="B2956">
        <v>369.96414199999998</v>
      </c>
      <c r="C2956" s="334">
        <f t="shared" si="46"/>
        <v>-3.9320853668586758E-2</v>
      </c>
    </row>
    <row r="2957" spans="1:3" x14ac:dyDescent="0.3">
      <c r="A2957" s="335">
        <v>43507</v>
      </c>
      <c r="B2957">
        <v>378.74008199999997</v>
      </c>
      <c r="C2957" s="334">
        <f t="shared" si="46"/>
        <v>2.3721055647603795E-2</v>
      </c>
    </row>
    <row r="2958" spans="1:3" x14ac:dyDescent="0.3">
      <c r="A2958" s="335">
        <v>43508</v>
      </c>
      <c r="B2958">
        <v>369.10376000000002</v>
      </c>
      <c r="C2958" s="334">
        <f t="shared" si="46"/>
        <v>-2.5443100579990767E-2</v>
      </c>
    </row>
    <row r="2959" spans="1:3" x14ac:dyDescent="0.3">
      <c r="A2959" s="335">
        <v>43509</v>
      </c>
      <c r="B2959">
        <v>374.95431500000001</v>
      </c>
      <c r="C2959" s="334">
        <f t="shared" si="46"/>
        <v>1.5850705503514743E-2</v>
      </c>
    </row>
    <row r="2960" spans="1:3" x14ac:dyDescent="0.3">
      <c r="A2960" s="335">
        <v>43510</v>
      </c>
      <c r="B2960">
        <v>370.824524</v>
      </c>
      <c r="C2960" s="334">
        <f t="shared" si="46"/>
        <v>-1.1014117813259493E-2</v>
      </c>
    </row>
    <row r="2961" spans="1:3" x14ac:dyDescent="0.3">
      <c r="A2961" s="335">
        <v>43511</v>
      </c>
      <c r="B2961">
        <v>381.32119799999998</v>
      </c>
      <c r="C2961" s="334">
        <f t="shared" si="46"/>
        <v>2.8306310183519538E-2</v>
      </c>
    </row>
    <row r="2962" spans="1:3" x14ac:dyDescent="0.3">
      <c r="A2962" s="335">
        <v>43514</v>
      </c>
      <c r="B2962">
        <v>376.84719799999999</v>
      </c>
      <c r="C2962" s="334">
        <f t="shared" si="46"/>
        <v>-1.1732890863308339E-2</v>
      </c>
    </row>
    <row r="2963" spans="1:3" x14ac:dyDescent="0.3">
      <c r="A2963" s="335">
        <v>43515</v>
      </c>
      <c r="B2963">
        <v>376.84719799999999</v>
      </c>
      <c r="C2963" s="334">
        <f t="shared" si="46"/>
        <v>0</v>
      </c>
    </row>
    <row r="2964" spans="1:3" x14ac:dyDescent="0.3">
      <c r="A2964" s="335">
        <v>43516</v>
      </c>
      <c r="B2964">
        <v>360.49993899999998</v>
      </c>
      <c r="C2964" s="334">
        <f t="shared" si="46"/>
        <v>-4.3379011670401244E-2</v>
      </c>
    </row>
    <row r="2965" spans="1:3" x14ac:dyDescent="0.3">
      <c r="A2965" s="335">
        <v>43517</v>
      </c>
      <c r="B2965">
        <v>364.11352499999998</v>
      </c>
      <c r="C2965" s="334">
        <f t="shared" si="46"/>
        <v>1.0023818617067777E-2</v>
      </c>
    </row>
    <row r="2966" spans="1:3" x14ac:dyDescent="0.3">
      <c r="A2966" s="335">
        <v>43518</v>
      </c>
      <c r="B2966">
        <v>369.61999500000002</v>
      </c>
      <c r="C2966" s="334">
        <f t="shared" si="46"/>
        <v>1.5122948261809379E-2</v>
      </c>
    </row>
    <row r="2967" spans="1:3" x14ac:dyDescent="0.3">
      <c r="A2967" s="335">
        <v>43521</v>
      </c>
      <c r="B2967">
        <v>371.51281699999998</v>
      </c>
      <c r="C2967" s="334">
        <f t="shared" si="46"/>
        <v>5.1209946042014495E-3</v>
      </c>
    </row>
    <row r="2968" spans="1:3" x14ac:dyDescent="0.3">
      <c r="A2968" s="335">
        <v>43522</v>
      </c>
      <c r="B2968">
        <v>371.85699499999998</v>
      </c>
      <c r="C2968" s="334">
        <f t="shared" si="46"/>
        <v>9.264229503016028E-4</v>
      </c>
    </row>
    <row r="2969" spans="1:3" x14ac:dyDescent="0.3">
      <c r="A2969" s="335">
        <v>43523</v>
      </c>
      <c r="B2969">
        <v>363.253174</v>
      </c>
      <c r="C2969" s="334">
        <f t="shared" si="46"/>
        <v>-2.3137445619383825E-2</v>
      </c>
    </row>
    <row r="2970" spans="1:3" x14ac:dyDescent="0.3">
      <c r="A2970" s="335">
        <v>43524</v>
      </c>
      <c r="B2970">
        <v>352.92858899999999</v>
      </c>
      <c r="C2970" s="334">
        <f t="shared" si="46"/>
        <v>-2.8422559633298657E-2</v>
      </c>
    </row>
    <row r="2971" spans="1:3" x14ac:dyDescent="0.3">
      <c r="A2971" s="335">
        <v>43525</v>
      </c>
      <c r="B2971">
        <v>357.402557</v>
      </c>
      <c r="C2971" s="334">
        <f t="shared" si="46"/>
        <v>1.2676694774647496E-2</v>
      </c>
    </row>
    <row r="2972" spans="1:3" x14ac:dyDescent="0.3">
      <c r="A2972" s="335">
        <v>43528</v>
      </c>
      <c r="B2972">
        <v>365.66223100000002</v>
      </c>
      <c r="C2972" s="334">
        <f t="shared" si="46"/>
        <v>2.3110282336340469E-2</v>
      </c>
    </row>
    <row r="2973" spans="1:3" x14ac:dyDescent="0.3">
      <c r="A2973" s="335">
        <v>43529</v>
      </c>
      <c r="B2973">
        <v>373.92190599999998</v>
      </c>
      <c r="C2973" s="334">
        <f t="shared" si="46"/>
        <v>2.2588263976325077E-2</v>
      </c>
    </row>
    <row r="2974" spans="1:3" x14ac:dyDescent="0.3">
      <c r="A2974" s="335">
        <v>43530</v>
      </c>
      <c r="B2974">
        <v>377.19134500000001</v>
      </c>
      <c r="C2974" s="334">
        <f t="shared" si="46"/>
        <v>8.7436412457740156E-3</v>
      </c>
    </row>
    <row r="2975" spans="1:3" x14ac:dyDescent="0.3">
      <c r="A2975" s="335">
        <v>43531</v>
      </c>
      <c r="B2975">
        <v>369.44790599999999</v>
      </c>
      <c r="C2975" s="334">
        <f t="shared" si="46"/>
        <v>-2.0529206469464517E-2</v>
      </c>
    </row>
    <row r="2976" spans="1:3" x14ac:dyDescent="0.3">
      <c r="A2976" s="335">
        <v>43532</v>
      </c>
      <c r="B2976">
        <v>380.80496199999999</v>
      </c>
      <c r="C2976" s="334">
        <f t="shared" si="46"/>
        <v>3.0740615430636654E-2</v>
      </c>
    </row>
    <row r="2977" spans="1:3" x14ac:dyDescent="0.3">
      <c r="A2977" s="335">
        <v>43535</v>
      </c>
      <c r="B2977">
        <v>374.43817100000001</v>
      </c>
      <c r="C2977" s="334">
        <f t="shared" si="46"/>
        <v>-1.6719296320513749E-2</v>
      </c>
    </row>
    <row r="2978" spans="1:3" x14ac:dyDescent="0.3">
      <c r="A2978" s="335">
        <v>43536</v>
      </c>
      <c r="B2978">
        <v>372.02905299999998</v>
      </c>
      <c r="C2978" s="334">
        <f t="shared" si="46"/>
        <v>-6.4339540853062087E-3</v>
      </c>
    </row>
    <row r="2979" spans="1:3" x14ac:dyDescent="0.3">
      <c r="A2979" s="335">
        <v>43537</v>
      </c>
      <c r="B2979">
        <v>375.814728</v>
      </c>
      <c r="C2979" s="334">
        <f t="shared" si="46"/>
        <v>1.0175750978244235E-2</v>
      </c>
    </row>
    <row r="2980" spans="1:3" x14ac:dyDescent="0.3">
      <c r="A2980" s="335">
        <v>43538</v>
      </c>
      <c r="B2980">
        <v>380.97701999999998</v>
      </c>
      <c r="C2980" s="334">
        <f t="shared" si="46"/>
        <v>1.3736268473224868E-2</v>
      </c>
    </row>
    <row r="2981" spans="1:3" x14ac:dyDescent="0.3">
      <c r="A2981" s="335">
        <v>43539</v>
      </c>
      <c r="B2981">
        <v>357.91882299999997</v>
      </c>
      <c r="C2981" s="334">
        <f t="shared" si="46"/>
        <v>-6.0523852593523907E-2</v>
      </c>
    </row>
    <row r="2982" spans="1:3" x14ac:dyDescent="0.3">
      <c r="A2982" s="335">
        <v>43542</v>
      </c>
      <c r="B2982">
        <v>356.71426400000001</v>
      </c>
      <c r="C2982" s="334">
        <f t="shared" si="46"/>
        <v>-3.3654530653168826E-3</v>
      </c>
    </row>
    <row r="2983" spans="1:3" x14ac:dyDescent="0.3">
      <c r="A2983" s="335">
        <v>43543</v>
      </c>
      <c r="B2983">
        <v>355.509705</v>
      </c>
      <c r="C2983" s="334">
        <f t="shared" si="46"/>
        <v>-3.3768175864142551E-3</v>
      </c>
    </row>
    <row r="2984" spans="1:3" x14ac:dyDescent="0.3">
      <c r="A2984" s="335">
        <v>43544</v>
      </c>
      <c r="B2984">
        <v>352.58441199999999</v>
      </c>
      <c r="C2984" s="334">
        <f t="shared" si="46"/>
        <v>-8.228447659396558E-3</v>
      </c>
    </row>
    <row r="2985" spans="1:3" x14ac:dyDescent="0.3">
      <c r="A2985" s="335">
        <v>43545</v>
      </c>
      <c r="B2985">
        <v>353.27273600000001</v>
      </c>
      <c r="C2985" s="334">
        <f t="shared" si="46"/>
        <v>1.9522247058387336E-3</v>
      </c>
    </row>
    <row r="2986" spans="1:3" x14ac:dyDescent="0.3">
      <c r="A2986" s="335">
        <v>43546</v>
      </c>
      <c r="B2986">
        <v>352.41235399999999</v>
      </c>
      <c r="C2986" s="334">
        <f t="shared" si="46"/>
        <v>-2.4354610823972998E-3</v>
      </c>
    </row>
    <row r="2987" spans="1:3" x14ac:dyDescent="0.3">
      <c r="A2987" s="335">
        <v>43549</v>
      </c>
      <c r="B2987">
        <v>352.75650000000002</v>
      </c>
      <c r="C2987" s="334">
        <f t="shared" si="46"/>
        <v>9.7654351810840141E-4</v>
      </c>
    </row>
    <row r="2988" spans="1:3" x14ac:dyDescent="0.3">
      <c r="A2988" s="335">
        <v>43550</v>
      </c>
      <c r="B2988">
        <v>350.347443</v>
      </c>
      <c r="C2988" s="334">
        <f t="shared" si="46"/>
        <v>-6.8292348971599913E-3</v>
      </c>
    </row>
    <row r="2989" spans="1:3" x14ac:dyDescent="0.3">
      <c r="A2989" s="335">
        <v>43551</v>
      </c>
      <c r="B2989">
        <v>346.56176799999997</v>
      </c>
      <c r="C2989" s="334">
        <f t="shared" si="46"/>
        <v>-1.0805487739780724E-2</v>
      </c>
    </row>
    <row r="2990" spans="1:3" x14ac:dyDescent="0.3">
      <c r="A2990" s="335">
        <v>43552</v>
      </c>
      <c r="B2990">
        <v>358.09088100000002</v>
      </c>
      <c r="C2990" s="334">
        <f t="shared" si="46"/>
        <v>3.3267123106320406E-2</v>
      </c>
    </row>
    <row r="2991" spans="1:3" x14ac:dyDescent="0.3">
      <c r="A2991" s="335">
        <v>43553</v>
      </c>
      <c r="B2991">
        <v>356.02593999999999</v>
      </c>
      <c r="C2991" s="334">
        <f t="shared" si="46"/>
        <v>-5.7665277435535499E-3</v>
      </c>
    </row>
    <row r="2992" spans="1:3" x14ac:dyDescent="0.3">
      <c r="A2992" s="335">
        <v>43556</v>
      </c>
      <c r="B2992">
        <v>357.488586</v>
      </c>
      <c r="C2992" s="334">
        <f t="shared" si="46"/>
        <v>4.1082568309489097E-3</v>
      </c>
    </row>
    <row r="2993" spans="1:3" x14ac:dyDescent="0.3">
      <c r="A2993" s="335">
        <v>43557</v>
      </c>
      <c r="B2993">
        <v>356.62823500000002</v>
      </c>
      <c r="C2993" s="334">
        <f t="shared" si="46"/>
        <v>-2.4066530616448272E-3</v>
      </c>
    </row>
    <row r="2994" spans="1:3" x14ac:dyDescent="0.3">
      <c r="A2994" s="335">
        <v>43558</v>
      </c>
      <c r="B2994">
        <v>354.64935300000002</v>
      </c>
      <c r="C2994" s="334">
        <f t="shared" si="46"/>
        <v>-5.5488651929087966E-3</v>
      </c>
    </row>
    <row r="2995" spans="1:3" x14ac:dyDescent="0.3">
      <c r="A2995" s="335">
        <v>43559</v>
      </c>
      <c r="B2995">
        <v>362.73693800000001</v>
      </c>
      <c r="C2995" s="334">
        <f t="shared" si="46"/>
        <v>2.2804454404291526E-2</v>
      </c>
    </row>
    <row r="2996" spans="1:3" x14ac:dyDescent="0.3">
      <c r="A2996" s="335">
        <v>43560</v>
      </c>
      <c r="B2996">
        <v>355.33767699999999</v>
      </c>
      <c r="C2996" s="334">
        <f t="shared" si="46"/>
        <v>-2.0398421624213039E-2</v>
      </c>
    </row>
    <row r="2997" spans="1:3" x14ac:dyDescent="0.3">
      <c r="A2997" s="335">
        <v>43563</v>
      </c>
      <c r="B2997">
        <v>354.73538200000002</v>
      </c>
      <c r="C2997" s="334">
        <f t="shared" si="46"/>
        <v>-1.6949933513522959E-3</v>
      </c>
    </row>
    <row r="2998" spans="1:3" x14ac:dyDescent="0.3">
      <c r="A2998" s="335">
        <v>43564</v>
      </c>
      <c r="B2998">
        <v>354.47729500000003</v>
      </c>
      <c r="C2998" s="334">
        <f t="shared" si="46"/>
        <v>-7.2754795009421721E-4</v>
      </c>
    </row>
    <row r="2999" spans="1:3" x14ac:dyDescent="0.3">
      <c r="A2999" s="335">
        <v>43565</v>
      </c>
      <c r="B2999">
        <v>351.37988300000001</v>
      </c>
      <c r="C2999" s="334">
        <f t="shared" si="46"/>
        <v>-8.7379700863493091E-3</v>
      </c>
    </row>
    <row r="3000" spans="1:3" x14ac:dyDescent="0.3">
      <c r="A3000" s="335">
        <v>43566</v>
      </c>
      <c r="B3000">
        <v>352.15420499999999</v>
      </c>
      <c r="C3000" s="334">
        <f t="shared" si="46"/>
        <v>2.2036605891862732E-3</v>
      </c>
    </row>
    <row r="3001" spans="1:3" x14ac:dyDescent="0.3">
      <c r="A3001" s="335">
        <v>43567</v>
      </c>
      <c r="B3001">
        <v>346.905914</v>
      </c>
      <c r="C3001" s="334">
        <f t="shared" si="46"/>
        <v>-1.4903388701549069E-2</v>
      </c>
    </row>
    <row r="3002" spans="1:3" x14ac:dyDescent="0.3">
      <c r="A3002" s="335">
        <v>43570</v>
      </c>
      <c r="B3002">
        <v>353.18667599999998</v>
      </c>
      <c r="C3002" s="334">
        <f t="shared" si="46"/>
        <v>1.8105087709747093E-2</v>
      </c>
    </row>
    <row r="3003" spans="1:3" x14ac:dyDescent="0.3">
      <c r="A3003" s="335">
        <v>43571</v>
      </c>
      <c r="B3003">
        <v>348.368561</v>
      </c>
      <c r="C3003" s="334">
        <f t="shared" si="46"/>
        <v>-1.3641836817196291E-2</v>
      </c>
    </row>
    <row r="3004" spans="1:3" x14ac:dyDescent="0.3">
      <c r="A3004" s="335">
        <v>43572</v>
      </c>
      <c r="B3004">
        <v>348.368561</v>
      </c>
      <c r="C3004" s="334">
        <f t="shared" si="46"/>
        <v>0</v>
      </c>
    </row>
    <row r="3005" spans="1:3" x14ac:dyDescent="0.3">
      <c r="A3005" s="335">
        <v>43578</v>
      </c>
      <c r="B3005">
        <v>336.83944700000001</v>
      </c>
      <c r="C3005" s="334">
        <f t="shared" si="46"/>
        <v>-3.3094588004455409E-2</v>
      </c>
    </row>
    <row r="3006" spans="1:3" x14ac:dyDescent="0.3">
      <c r="A3006" s="335">
        <v>43579</v>
      </c>
      <c r="B3006">
        <v>342.60400399999997</v>
      </c>
      <c r="C3006" s="334">
        <f t="shared" si="46"/>
        <v>1.7113663649970211E-2</v>
      </c>
    </row>
    <row r="3007" spans="1:3" x14ac:dyDescent="0.3">
      <c r="A3007" s="335">
        <v>43580</v>
      </c>
      <c r="B3007">
        <v>332.45147700000001</v>
      </c>
      <c r="C3007" s="334">
        <f t="shared" si="46"/>
        <v>-2.9633416076479843E-2</v>
      </c>
    </row>
    <row r="3008" spans="1:3" x14ac:dyDescent="0.3">
      <c r="A3008" s="335">
        <v>43581</v>
      </c>
      <c r="B3008">
        <v>328.14956699999999</v>
      </c>
      <c r="C3008" s="334">
        <f t="shared" si="46"/>
        <v>-1.2939963566472651E-2</v>
      </c>
    </row>
    <row r="3009" spans="1:3" x14ac:dyDescent="0.3">
      <c r="A3009" s="335">
        <v>43584</v>
      </c>
      <c r="B3009">
        <v>334.51641799999999</v>
      </c>
      <c r="C3009" s="334">
        <f t="shared" si="46"/>
        <v>1.9402283715340075E-2</v>
      </c>
    </row>
    <row r="3010" spans="1:3" x14ac:dyDescent="0.3">
      <c r="A3010" s="335">
        <v>43585</v>
      </c>
      <c r="B3010">
        <v>337.26965300000001</v>
      </c>
      <c r="C3010" s="334">
        <f t="shared" si="46"/>
        <v>8.2304928901875841E-3</v>
      </c>
    </row>
    <row r="3011" spans="1:3" x14ac:dyDescent="0.3">
      <c r="A3011" s="335">
        <v>43587</v>
      </c>
      <c r="B3011">
        <v>335.11868299999998</v>
      </c>
      <c r="C3011" s="334">
        <f t="shared" si="46"/>
        <v>-6.377597215958322E-3</v>
      </c>
    </row>
    <row r="3012" spans="1:3" x14ac:dyDescent="0.3">
      <c r="A3012" s="335">
        <v>43588</v>
      </c>
      <c r="B3012">
        <v>340.625092</v>
      </c>
      <c r="C3012" s="334">
        <f t="shared" si="46"/>
        <v>1.6431220577457387E-2</v>
      </c>
    </row>
    <row r="3013" spans="1:3" x14ac:dyDescent="0.3">
      <c r="A3013" s="335">
        <v>43591</v>
      </c>
      <c r="B3013">
        <v>337.61376999999999</v>
      </c>
      <c r="C3013" s="334">
        <f t="shared" si="46"/>
        <v>-8.8405759608573015E-3</v>
      </c>
    </row>
    <row r="3014" spans="1:3" x14ac:dyDescent="0.3">
      <c r="A3014" s="335">
        <v>43592</v>
      </c>
      <c r="B3014">
        <v>340.88326999999998</v>
      </c>
      <c r="C3014" s="334">
        <f t="shared" ref="C3014:C3077" si="47">(B3014-B3013)/B3013</f>
        <v>9.6841429186966914E-3</v>
      </c>
    </row>
    <row r="3015" spans="1:3" x14ac:dyDescent="0.3">
      <c r="A3015" s="335">
        <v>43593</v>
      </c>
      <c r="B3015">
        <v>340.28100599999999</v>
      </c>
      <c r="C3015" s="334">
        <f t="shared" si="47"/>
        <v>-1.7667748845520963E-3</v>
      </c>
    </row>
    <row r="3016" spans="1:3" x14ac:dyDescent="0.3">
      <c r="A3016" s="335">
        <v>43594</v>
      </c>
      <c r="B3016">
        <v>334.77456699999999</v>
      </c>
      <c r="C3016" s="334">
        <f t="shared" si="47"/>
        <v>-1.6182034562340516E-2</v>
      </c>
    </row>
    <row r="3017" spans="1:3" x14ac:dyDescent="0.3">
      <c r="A3017" s="335">
        <v>43595</v>
      </c>
      <c r="B3017">
        <v>346.30361900000003</v>
      </c>
      <c r="C3017" s="334">
        <f t="shared" si="47"/>
        <v>3.4438255281202521E-2</v>
      </c>
    </row>
    <row r="3018" spans="1:3" x14ac:dyDescent="0.3">
      <c r="A3018" s="335">
        <v>43598</v>
      </c>
      <c r="B3018">
        <v>340.539063</v>
      </c>
      <c r="C3018" s="334">
        <f t="shared" si="47"/>
        <v>-1.6645959452130436E-2</v>
      </c>
    </row>
    <row r="3019" spans="1:3" x14ac:dyDescent="0.3">
      <c r="A3019" s="335">
        <v>43599</v>
      </c>
      <c r="B3019">
        <v>340.71112099999999</v>
      </c>
      <c r="C3019" s="334">
        <f t="shared" si="47"/>
        <v>5.0525187473130721E-4</v>
      </c>
    </row>
    <row r="3020" spans="1:3" x14ac:dyDescent="0.3">
      <c r="A3020" s="335">
        <v>43600</v>
      </c>
      <c r="B3020">
        <v>348.11044299999998</v>
      </c>
      <c r="C3020" s="334">
        <f t="shared" si="47"/>
        <v>2.1717289351409177E-2</v>
      </c>
    </row>
    <row r="3021" spans="1:3" x14ac:dyDescent="0.3">
      <c r="A3021" s="335">
        <v>43601</v>
      </c>
      <c r="B3021">
        <v>349.40103099999999</v>
      </c>
      <c r="C3021" s="334">
        <f t="shared" si="47"/>
        <v>3.7074096050603513E-3</v>
      </c>
    </row>
    <row r="3022" spans="1:3" x14ac:dyDescent="0.3">
      <c r="A3022" s="335">
        <v>43605</v>
      </c>
      <c r="B3022">
        <v>348.11044299999998</v>
      </c>
      <c r="C3022" s="334">
        <f t="shared" si="47"/>
        <v>-3.6937154887788921E-3</v>
      </c>
    </row>
    <row r="3023" spans="1:3" x14ac:dyDescent="0.3">
      <c r="A3023" s="335">
        <v>43606</v>
      </c>
      <c r="B3023">
        <v>348.79873700000002</v>
      </c>
      <c r="C3023" s="334">
        <f t="shared" si="47"/>
        <v>1.9772288187287785E-3</v>
      </c>
    </row>
    <row r="3024" spans="1:3" x14ac:dyDescent="0.3">
      <c r="A3024" s="335">
        <v>43607</v>
      </c>
      <c r="B3024">
        <v>332.70959499999998</v>
      </c>
      <c r="C3024" s="334">
        <f t="shared" si="47"/>
        <v>-4.6127294319876042E-2</v>
      </c>
    </row>
    <row r="3025" spans="1:3" x14ac:dyDescent="0.3">
      <c r="A3025" s="335">
        <v>43608</v>
      </c>
      <c r="B3025">
        <v>351.982147</v>
      </c>
      <c r="C3025" s="334">
        <f t="shared" si="47"/>
        <v>5.7926048090076933E-2</v>
      </c>
    </row>
    <row r="3026" spans="1:3" x14ac:dyDescent="0.3">
      <c r="A3026" s="335">
        <v>43609</v>
      </c>
      <c r="B3026">
        <v>352.240295</v>
      </c>
      <c r="C3026" s="334">
        <f t="shared" si="47"/>
        <v>7.3341219774992051E-4</v>
      </c>
    </row>
    <row r="3027" spans="1:3" x14ac:dyDescent="0.3">
      <c r="A3027" s="335">
        <v>43612</v>
      </c>
      <c r="B3027">
        <v>374.52417000000003</v>
      </c>
      <c r="C3027" s="334">
        <f t="shared" si="47"/>
        <v>6.326327599742676E-2</v>
      </c>
    </row>
    <row r="3028" spans="1:3" x14ac:dyDescent="0.3">
      <c r="A3028" s="335">
        <v>43613</v>
      </c>
      <c r="B3028">
        <v>364.37167399999998</v>
      </c>
      <c r="C3028" s="334">
        <f t="shared" si="47"/>
        <v>-2.7107719109290173E-2</v>
      </c>
    </row>
    <row r="3029" spans="1:3" x14ac:dyDescent="0.3">
      <c r="A3029" s="335">
        <v>43614</v>
      </c>
      <c r="B3029">
        <v>352.06820699999997</v>
      </c>
      <c r="C3029" s="334">
        <f t="shared" si="47"/>
        <v>-3.3766255386800489E-2</v>
      </c>
    </row>
    <row r="3030" spans="1:3" x14ac:dyDescent="0.3">
      <c r="A3030" s="335">
        <v>43616</v>
      </c>
      <c r="B3030">
        <v>344.15267899999998</v>
      </c>
      <c r="C3030" s="334">
        <f t="shared" si="47"/>
        <v>-2.24829389380223E-2</v>
      </c>
    </row>
    <row r="3031" spans="1:3" x14ac:dyDescent="0.3">
      <c r="A3031" s="335">
        <v>43619</v>
      </c>
      <c r="B3031">
        <v>359.55352800000003</v>
      </c>
      <c r="C3031" s="334">
        <f t="shared" si="47"/>
        <v>4.4750048277264906E-2</v>
      </c>
    </row>
    <row r="3032" spans="1:3" x14ac:dyDescent="0.3">
      <c r="A3032" s="335">
        <v>43620</v>
      </c>
      <c r="B3032">
        <v>341.57156400000002</v>
      </c>
      <c r="C3032" s="334">
        <f t="shared" si="47"/>
        <v>-5.0011924789123481E-2</v>
      </c>
    </row>
    <row r="3033" spans="1:3" x14ac:dyDescent="0.3">
      <c r="A3033" s="335">
        <v>43621</v>
      </c>
      <c r="B3033">
        <v>336.66735799999998</v>
      </c>
      <c r="C3033" s="334">
        <f t="shared" si="47"/>
        <v>-1.4357770133347648E-2</v>
      </c>
    </row>
    <row r="3034" spans="1:3" x14ac:dyDescent="0.3">
      <c r="A3034" s="335">
        <v>43622</v>
      </c>
      <c r="B3034">
        <v>341.69497699999999</v>
      </c>
      <c r="C3034" s="334">
        <f t="shared" si="47"/>
        <v>1.4933491116771754E-2</v>
      </c>
    </row>
    <row r="3035" spans="1:3" x14ac:dyDescent="0.3">
      <c r="A3035" s="335">
        <v>43623</v>
      </c>
      <c r="B3035">
        <v>338.22134399999999</v>
      </c>
      <c r="C3035" s="334">
        <f t="shared" si="47"/>
        <v>-1.0165888391154216E-2</v>
      </c>
    </row>
    <row r="3036" spans="1:3" x14ac:dyDescent="0.3">
      <c r="A3036" s="335">
        <v>43627</v>
      </c>
      <c r="B3036">
        <v>342.70049999999998</v>
      </c>
      <c r="C3036" s="334">
        <f t="shared" si="47"/>
        <v>1.3243268290010666E-2</v>
      </c>
    </row>
    <row r="3037" spans="1:3" x14ac:dyDescent="0.3">
      <c r="A3037" s="335">
        <v>43628</v>
      </c>
      <c r="B3037">
        <v>336.11889600000001</v>
      </c>
      <c r="C3037" s="334">
        <f t="shared" si="47"/>
        <v>-1.9205119338897875E-2</v>
      </c>
    </row>
    <row r="3038" spans="1:3" x14ac:dyDescent="0.3">
      <c r="A3038" s="335">
        <v>43629</v>
      </c>
      <c r="B3038">
        <v>330.17718500000001</v>
      </c>
      <c r="C3038" s="334">
        <f t="shared" si="47"/>
        <v>-1.7677408413241957E-2</v>
      </c>
    </row>
    <row r="3039" spans="1:3" x14ac:dyDescent="0.3">
      <c r="A3039" s="335">
        <v>43630</v>
      </c>
      <c r="B3039">
        <v>335.57043499999997</v>
      </c>
      <c r="C3039" s="334">
        <f t="shared" si="47"/>
        <v>1.6334411476674155E-2</v>
      </c>
    </row>
    <row r="3040" spans="1:3" x14ac:dyDescent="0.3">
      <c r="A3040" s="335">
        <v>43633</v>
      </c>
      <c r="B3040">
        <v>330.08575400000001</v>
      </c>
      <c r="C3040" s="334">
        <f t="shared" si="47"/>
        <v>-1.6344351074909107E-2</v>
      </c>
    </row>
    <row r="3041" spans="1:3" x14ac:dyDescent="0.3">
      <c r="A3041" s="335">
        <v>43634</v>
      </c>
      <c r="B3041">
        <v>333.19369499999999</v>
      </c>
      <c r="C3041" s="334">
        <f t="shared" si="47"/>
        <v>9.415556298136946E-3</v>
      </c>
    </row>
    <row r="3042" spans="1:3" x14ac:dyDescent="0.3">
      <c r="A3042" s="335">
        <v>43635</v>
      </c>
      <c r="B3042">
        <v>328.16613799999999</v>
      </c>
      <c r="C3042" s="334">
        <f t="shared" si="47"/>
        <v>-1.5088992005085816E-2</v>
      </c>
    </row>
    <row r="3043" spans="1:3" x14ac:dyDescent="0.3">
      <c r="A3043" s="335">
        <v>43636</v>
      </c>
      <c r="B3043">
        <v>324.96673600000003</v>
      </c>
      <c r="C3043" s="334">
        <f t="shared" si="47"/>
        <v>-9.7493361731305853E-3</v>
      </c>
    </row>
    <row r="3044" spans="1:3" x14ac:dyDescent="0.3">
      <c r="A3044" s="335">
        <v>43637</v>
      </c>
      <c r="B3044">
        <v>325.78942899999998</v>
      </c>
      <c r="C3044" s="334">
        <f t="shared" si="47"/>
        <v>2.5316221904015377E-3</v>
      </c>
    </row>
    <row r="3045" spans="1:3" x14ac:dyDescent="0.3">
      <c r="A3045" s="335">
        <v>43640</v>
      </c>
      <c r="B3045">
        <v>330.17718500000001</v>
      </c>
      <c r="C3045" s="334">
        <f t="shared" si="47"/>
        <v>1.3468073575831168E-2</v>
      </c>
    </row>
    <row r="3046" spans="1:3" x14ac:dyDescent="0.3">
      <c r="A3046" s="335">
        <v>43641</v>
      </c>
      <c r="B3046">
        <v>333.10229500000003</v>
      </c>
      <c r="C3046" s="334">
        <f t="shared" si="47"/>
        <v>8.8592129707569522E-3</v>
      </c>
    </row>
    <row r="3047" spans="1:3" x14ac:dyDescent="0.3">
      <c r="A3047" s="335">
        <v>43642</v>
      </c>
      <c r="B3047">
        <v>339.13543700000002</v>
      </c>
      <c r="C3047" s="334">
        <f t="shared" si="47"/>
        <v>1.8111979684799221E-2</v>
      </c>
    </row>
    <row r="3048" spans="1:3" x14ac:dyDescent="0.3">
      <c r="A3048" s="335">
        <v>43643</v>
      </c>
      <c r="B3048">
        <v>340.68945300000001</v>
      </c>
      <c r="C3048" s="334">
        <f t="shared" si="47"/>
        <v>4.5822872824699528E-3</v>
      </c>
    </row>
    <row r="3049" spans="1:3" x14ac:dyDescent="0.3">
      <c r="A3049" s="335">
        <v>43644</v>
      </c>
      <c r="B3049">
        <v>339.044037</v>
      </c>
      <c r="C3049" s="334">
        <f t="shared" si="47"/>
        <v>-4.8296652142031868E-3</v>
      </c>
    </row>
    <row r="3050" spans="1:3" x14ac:dyDescent="0.3">
      <c r="A3050" s="335">
        <v>43647</v>
      </c>
      <c r="B3050">
        <v>340.23242199999999</v>
      </c>
      <c r="C3050" s="334">
        <f t="shared" si="47"/>
        <v>3.5051051495118388E-3</v>
      </c>
    </row>
    <row r="3051" spans="1:3" x14ac:dyDescent="0.3">
      <c r="A3051" s="335">
        <v>43648</v>
      </c>
      <c r="B3051">
        <v>355.22384599999998</v>
      </c>
      <c r="C3051" s="334">
        <f t="shared" si="47"/>
        <v>4.4062302798408774E-2</v>
      </c>
    </row>
    <row r="3052" spans="1:3" x14ac:dyDescent="0.3">
      <c r="A3052" s="335">
        <v>43649</v>
      </c>
      <c r="B3052">
        <v>370.39810199999999</v>
      </c>
      <c r="C3052" s="334">
        <f t="shared" si="47"/>
        <v>4.2717447521808588E-2</v>
      </c>
    </row>
    <row r="3053" spans="1:3" x14ac:dyDescent="0.3">
      <c r="A3053" s="335">
        <v>43650</v>
      </c>
      <c r="B3053">
        <v>389.68585200000001</v>
      </c>
      <c r="C3053" s="334">
        <f t="shared" si="47"/>
        <v>5.2073026011348236E-2</v>
      </c>
    </row>
    <row r="3054" spans="1:3" x14ac:dyDescent="0.3">
      <c r="A3054" s="335">
        <v>43651</v>
      </c>
      <c r="B3054">
        <v>395.71899400000001</v>
      </c>
      <c r="C3054" s="334">
        <f t="shared" si="47"/>
        <v>1.5482065794885461E-2</v>
      </c>
    </row>
    <row r="3055" spans="1:3" x14ac:dyDescent="0.3">
      <c r="A3055" s="335">
        <v>43654</v>
      </c>
      <c r="B3055">
        <v>397.36437999999998</v>
      </c>
      <c r="C3055" s="334">
        <f t="shared" si="47"/>
        <v>4.1579656901684471E-3</v>
      </c>
    </row>
    <row r="3056" spans="1:3" x14ac:dyDescent="0.3">
      <c r="A3056" s="335">
        <v>43655</v>
      </c>
      <c r="B3056">
        <v>405.5</v>
      </c>
      <c r="C3056" s="334">
        <f t="shared" si="47"/>
        <v>2.047395390598427E-2</v>
      </c>
    </row>
    <row r="3057" spans="1:3" x14ac:dyDescent="0.3">
      <c r="A3057" s="335">
        <v>43656</v>
      </c>
      <c r="B3057">
        <v>401.660706</v>
      </c>
      <c r="C3057" s="334">
        <f t="shared" si="47"/>
        <v>-9.4680493218248958E-3</v>
      </c>
    </row>
    <row r="3058" spans="1:3" x14ac:dyDescent="0.3">
      <c r="A3058" s="335">
        <v>43657</v>
      </c>
      <c r="B3058">
        <v>398.46133400000002</v>
      </c>
      <c r="C3058" s="334">
        <f t="shared" si="47"/>
        <v>-7.9653596983917628E-3</v>
      </c>
    </row>
    <row r="3059" spans="1:3" x14ac:dyDescent="0.3">
      <c r="A3059" s="335">
        <v>43658</v>
      </c>
      <c r="B3059">
        <v>400.01531999999997</v>
      </c>
      <c r="C3059" s="334">
        <f t="shared" si="47"/>
        <v>3.8999668660446539E-3</v>
      </c>
    </row>
    <row r="3060" spans="1:3" x14ac:dyDescent="0.3">
      <c r="A3060" s="335">
        <v>43661</v>
      </c>
      <c r="B3060">
        <v>406.13986199999999</v>
      </c>
      <c r="C3060" s="334">
        <f t="shared" si="47"/>
        <v>1.5310768597562764E-2</v>
      </c>
    </row>
    <row r="3061" spans="1:3" x14ac:dyDescent="0.3">
      <c r="A3061" s="335">
        <v>43662</v>
      </c>
      <c r="B3061">
        <v>399.92385899999999</v>
      </c>
      <c r="C3061" s="334">
        <f t="shared" si="47"/>
        <v>-1.5305079805242068E-2</v>
      </c>
    </row>
    <row r="3062" spans="1:3" x14ac:dyDescent="0.3">
      <c r="A3062" s="335">
        <v>43663</v>
      </c>
      <c r="B3062">
        <v>397.63861100000003</v>
      </c>
      <c r="C3062" s="334">
        <f t="shared" si="47"/>
        <v>-5.7142077137237448E-3</v>
      </c>
    </row>
    <row r="3063" spans="1:3" x14ac:dyDescent="0.3">
      <c r="A3063" s="335">
        <v>43664</v>
      </c>
      <c r="B3063">
        <v>401.56930499999999</v>
      </c>
      <c r="C3063" s="334">
        <f t="shared" si="47"/>
        <v>9.8850913650333615E-3</v>
      </c>
    </row>
    <row r="3064" spans="1:3" x14ac:dyDescent="0.3">
      <c r="A3064" s="335">
        <v>43665</v>
      </c>
      <c r="B3064">
        <v>398.64413500000001</v>
      </c>
      <c r="C3064" s="334">
        <f t="shared" si="47"/>
        <v>-7.2843465961622243E-3</v>
      </c>
    </row>
    <row r="3065" spans="1:3" x14ac:dyDescent="0.3">
      <c r="A3065" s="335">
        <v>43668</v>
      </c>
      <c r="B3065">
        <v>400.563782</v>
      </c>
      <c r="C3065" s="334">
        <f t="shared" si="47"/>
        <v>4.8154402171249741E-3</v>
      </c>
    </row>
    <row r="3066" spans="1:3" x14ac:dyDescent="0.3">
      <c r="A3066" s="335">
        <v>43669</v>
      </c>
      <c r="B3066">
        <v>398.187073</v>
      </c>
      <c r="C3066" s="334">
        <f t="shared" si="47"/>
        <v>-5.9334096261354089E-3</v>
      </c>
    </row>
    <row r="3067" spans="1:3" x14ac:dyDescent="0.3">
      <c r="A3067" s="335">
        <v>43670</v>
      </c>
      <c r="B3067">
        <v>394.25637799999998</v>
      </c>
      <c r="C3067" s="334">
        <f t="shared" si="47"/>
        <v>-9.8714781732756416E-3</v>
      </c>
    </row>
    <row r="3068" spans="1:3" x14ac:dyDescent="0.3">
      <c r="A3068" s="335">
        <v>43671</v>
      </c>
      <c r="B3068">
        <v>393.52508499999999</v>
      </c>
      <c r="C3068" s="334">
        <f t="shared" si="47"/>
        <v>-1.854866631986341E-3</v>
      </c>
    </row>
    <row r="3069" spans="1:3" x14ac:dyDescent="0.3">
      <c r="A3069" s="335">
        <v>43672</v>
      </c>
      <c r="B3069">
        <v>384.84106400000002</v>
      </c>
      <c r="C3069" s="334">
        <f t="shared" si="47"/>
        <v>-2.2067261607986118E-2</v>
      </c>
    </row>
    <row r="3070" spans="1:3" x14ac:dyDescent="0.3">
      <c r="A3070" s="335">
        <v>43675</v>
      </c>
      <c r="B3070">
        <v>379.17352299999999</v>
      </c>
      <c r="C3070" s="334">
        <f t="shared" si="47"/>
        <v>-1.4726965311581271E-2</v>
      </c>
    </row>
    <row r="3071" spans="1:3" x14ac:dyDescent="0.3">
      <c r="A3071" s="335">
        <v>43676</v>
      </c>
      <c r="B3071">
        <v>369.20971700000001</v>
      </c>
      <c r="C3071" s="334">
        <f t="shared" si="47"/>
        <v>-2.6277694500309236E-2</v>
      </c>
    </row>
    <row r="3072" spans="1:3" x14ac:dyDescent="0.3">
      <c r="A3072" s="335">
        <v>43677</v>
      </c>
      <c r="B3072">
        <v>374.32876599999997</v>
      </c>
      <c r="C3072" s="334">
        <f t="shared" si="47"/>
        <v>1.3864881568108786E-2</v>
      </c>
    </row>
    <row r="3073" spans="1:3" x14ac:dyDescent="0.3">
      <c r="A3073" s="335">
        <v>43678</v>
      </c>
      <c r="B3073">
        <v>375.60849000000002</v>
      </c>
      <c r="C3073" s="334">
        <f t="shared" si="47"/>
        <v>3.4187166903439218E-3</v>
      </c>
    </row>
    <row r="3074" spans="1:3" x14ac:dyDescent="0.3">
      <c r="A3074" s="335">
        <v>43679</v>
      </c>
      <c r="B3074">
        <v>372.86617999999999</v>
      </c>
      <c r="C3074" s="334">
        <f t="shared" si="47"/>
        <v>-7.3009798047962964E-3</v>
      </c>
    </row>
    <row r="3075" spans="1:3" x14ac:dyDescent="0.3">
      <c r="A3075" s="335">
        <v>43682</v>
      </c>
      <c r="B3075">
        <v>361.53121900000002</v>
      </c>
      <c r="C3075" s="334">
        <f t="shared" si="47"/>
        <v>-3.039954173371252E-2</v>
      </c>
    </row>
    <row r="3076" spans="1:3" x14ac:dyDescent="0.3">
      <c r="A3076" s="335">
        <v>43683</v>
      </c>
      <c r="B3076">
        <v>367.92996199999999</v>
      </c>
      <c r="C3076" s="334">
        <f t="shared" si="47"/>
        <v>1.7699005407330999E-2</v>
      </c>
    </row>
    <row r="3077" spans="1:3" x14ac:dyDescent="0.3">
      <c r="A3077" s="335">
        <v>43684</v>
      </c>
      <c r="B3077">
        <v>369.30114700000001</v>
      </c>
      <c r="C3077" s="334">
        <f t="shared" si="47"/>
        <v>3.7267554741845827E-3</v>
      </c>
    </row>
    <row r="3078" spans="1:3" x14ac:dyDescent="0.3">
      <c r="A3078" s="335">
        <v>43685</v>
      </c>
      <c r="B3078">
        <v>379.81341600000002</v>
      </c>
      <c r="C3078" s="334">
        <f t="shared" ref="C3078:C3141" si="48">(B3078-B3077)/B3077</f>
        <v>2.8465302871101029E-2</v>
      </c>
    </row>
    <row r="3079" spans="1:3" x14ac:dyDescent="0.3">
      <c r="A3079" s="335">
        <v>43686</v>
      </c>
      <c r="B3079">
        <v>375.33429000000001</v>
      </c>
      <c r="C3079" s="334">
        <f t="shared" si="48"/>
        <v>-1.1792964153746501E-2</v>
      </c>
    </row>
    <row r="3080" spans="1:3" x14ac:dyDescent="0.3">
      <c r="A3080" s="335">
        <v>43689</v>
      </c>
      <c r="B3080">
        <v>375.24285900000001</v>
      </c>
      <c r="C3080" s="334">
        <f t="shared" si="48"/>
        <v>-2.435988462445039E-4</v>
      </c>
    </row>
    <row r="3081" spans="1:3" x14ac:dyDescent="0.3">
      <c r="A3081" s="335">
        <v>43690</v>
      </c>
      <c r="B3081">
        <v>400.472351</v>
      </c>
      <c r="C3081" s="334">
        <f t="shared" si="48"/>
        <v>6.7235102267462446E-2</v>
      </c>
    </row>
    <row r="3082" spans="1:3" x14ac:dyDescent="0.3">
      <c r="A3082" s="335">
        <v>43691</v>
      </c>
      <c r="B3082">
        <v>400.19812000000002</v>
      </c>
      <c r="C3082" s="334">
        <f t="shared" si="48"/>
        <v>-6.8476887184650134E-4</v>
      </c>
    </row>
    <row r="3083" spans="1:3" x14ac:dyDescent="0.3">
      <c r="A3083" s="335">
        <v>43692</v>
      </c>
      <c r="B3083">
        <v>396.63308699999999</v>
      </c>
      <c r="C3083" s="334">
        <f t="shared" si="48"/>
        <v>-8.9081702832587723E-3</v>
      </c>
    </row>
    <row r="3084" spans="1:3" x14ac:dyDescent="0.3">
      <c r="A3084" s="335">
        <v>43693</v>
      </c>
      <c r="B3084">
        <v>413.26989700000001</v>
      </c>
      <c r="C3084" s="334">
        <f t="shared" si="48"/>
        <v>4.1945088660745103E-2</v>
      </c>
    </row>
    <row r="3085" spans="1:3" x14ac:dyDescent="0.3">
      <c r="A3085" s="335">
        <v>43696</v>
      </c>
      <c r="B3085">
        <v>400.83801299999999</v>
      </c>
      <c r="C3085" s="334">
        <f t="shared" si="48"/>
        <v>-3.008175550710393E-2</v>
      </c>
    </row>
    <row r="3086" spans="1:3" x14ac:dyDescent="0.3">
      <c r="A3086" s="335">
        <v>43697</v>
      </c>
      <c r="B3086">
        <v>393.98217799999998</v>
      </c>
      <c r="C3086" s="334">
        <f t="shared" si="48"/>
        <v>-1.7103754578286501E-2</v>
      </c>
    </row>
    <row r="3087" spans="1:3" x14ac:dyDescent="0.3">
      <c r="A3087" s="335">
        <v>43698</v>
      </c>
      <c r="B3087">
        <v>390.05148300000002</v>
      </c>
      <c r="C3087" s="334">
        <f t="shared" si="48"/>
        <v>-9.9768345359011589E-3</v>
      </c>
    </row>
    <row r="3088" spans="1:3" x14ac:dyDescent="0.3">
      <c r="A3088" s="335">
        <v>43699</v>
      </c>
      <c r="B3088">
        <v>386.94348100000002</v>
      </c>
      <c r="C3088" s="334">
        <f t="shared" si="48"/>
        <v>-7.9681840358494394E-3</v>
      </c>
    </row>
    <row r="3089" spans="1:3" x14ac:dyDescent="0.3">
      <c r="A3089" s="335">
        <v>43700</v>
      </c>
      <c r="B3089">
        <v>399.83245799999997</v>
      </c>
      <c r="C3089" s="334">
        <f t="shared" si="48"/>
        <v>3.3309714810778664E-2</v>
      </c>
    </row>
    <row r="3090" spans="1:3" x14ac:dyDescent="0.3">
      <c r="A3090" s="335">
        <v>43703</v>
      </c>
      <c r="B3090">
        <v>398.187073</v>
      </c>
      <c r="C3090" s="334">
        <f t="shared" si="48"/>
        <v>-4.1151861663016268E-3</v>
      </c>
    </row>
    <row r="3091" spans="1:3" x14ac:dyDescent="0.3">
      <c r="A3091" s="335">
        <v>43704</v>
      </c>
      <c r="B3091">
        <v>402.94042999999999</v>
      </c>
      <c r="C3091" s="334">
        <f t="shared" si="48"/>
        <v>1.1937497026680207E-2</v>
      </c>
    </row>
    <row r="3092" spans="1:3" x14ac:dyDescent="0.3">
      <c r="A3092" s="335">
        <v>43705</v>
      </c>
      <c r="B3092">
        <v>400.472351</v>
      </c>
      <c r="C3092" s="334">
        <f t="shared" si="48"/>
        <v>-6.1251709092581966E-3</v>
      </c>
    </row>
    <row r="3093" spans="1:3" x14ac:dyDescent="0.3">
      <c r="A3093" s="335">
        <v>43706</v>
      </c>
      <c r="B3093">
        <v>406.23126200000002</v>
      </c>
      <c r="C3093" s="334">
        <f t="shared" si="48"/>
        <v>1.4380296131854585E-2</v>
      </c>
    </row>
    <row r="3094" spans="1:3" x14ac:dyDescent="0.3">
      <c r="A3094" s="335">
        <v>43707</v>
      </c>
      <c r="B3094">
        <v>395.44476300000002</v>
      </c>
      <c r="C3094" s="334">
        <f t="shared" si="48"/>
        <v>-2.6552606874455643E-2</v>
      </c>
    </row>
    <row r="3095" spans="1:3" x14ac:dyDescent="0.3">
      <c r="A3095" s="335">
        <v>43710</v>
      </c>
      <c r="B3095">
        <v>398.64413500000001</v>
      </c>
      <c r="C3095" s="334">
        <f t="shared" si="48"/>
        <v>8.090566115298339E-3</v>
      </c>
    </row>
    <row r="3096" spans="1:3" x14ac:dyDescent="0.3">
      <c r="A3096" s="335">
        <v>43711</v>
      </c>
      <c r="B3096">
        <v>395.81039399999997</v>
      </c>
      <c r="C3096" s="334">
        <f t="shared" si="48"/>
        <v>-7.1084477387332737E-3</v>
      </c>
    </row>
    <row r="3097" spans="1:3" x14ac:dyDescent="0.3">
      <c r="A3097" s="335">
        <v>43712</v>
      </c>
      <c r="B3097">
        <v>392.06253099999998</v>
      </c>
      <c r="C3097" s="334">
        <f t="shared" si="48"/>
        <v>-9.4688342115644281E-3</v>
      </c>
    </row>
    <row r="3098" spans="1:3" x14ac:dyDescent="0.3">
      <c r="A3098" s="335">
        <v>43713</v>
      </c>
      <c r="B3098">
        <v>394.71343999999999</v>
      </c>
      <c r="C3098" s="334">
        <f t="shared" si="48"/>
        <v>6.7614443880637323E-3</v>
      </c>
    </row>
    <row r="3099" spans="1:3" x14ac:dyDescent="0.3">
      <c r="A3099" s="335">
        <v>43714</v>
      </c>
      <c r="B3099">
        <v>388.49749800000001</v>
      </c>
      <c r="C3099" s="334">
        <f t="shared" si="48"/>
        <v>-1.5747986691306951E-2</v>
      </c>
    </row>
    <row r="3100" spans="1:3" x14ac:dyDescent="0.3">
      <c r="A3100" s="335">
        <v>43717</v>
      </c>
      <c r="B3100">
        <v>377.52816799999999</v>
      </c>
      <c r="C3100" s="334">
        <f t="shared" si="48"/>
        <v>-2.8235265494554133E-2</v>
      </c>
    </row>
    <row r="3101" spans="1:3" x14ac:dyDescent="0.3">
      <c r="A3101" s="335">
        <v>43718</v>
      </c>
      <c r="B3101">
        <v>369.666809</v>
      </c>
      <c r="C3101" s="334">
        <f t="shared" si="48"/>
        <v>-2.0823238280858539E-2</v>
      </c>
    </row>
    <row r="3102" spans="1:3" x14ac:dyDescent="0.3">
      <c r="A3102" s="335">
        <v>43719</v>
      </c>
      <c r="B3102">
        <v>377.61956800000002</v>
      </c>
      <c r="C3102" s="334">
        <f t="shared" si="48"/>
        <v>2.1513316333466159E-2</v>
      </c>
    </row>
    <row r="3103" spans="1:3" x14ac:dyDescent="0.3">
      <c r="A3103" s="335">
        <v>43720</v>
      </c>
      <c r="B3103">
        <v>371.95205700000002</v>
      </c>
      <c r="C3103" s="334">
        <f t="shared" si="48"/>
        <v>-1.5008520427098181E-2</v>
      </c>
    </row>
    <row r="3104" spans="1:3" x14ac:dyDescent="0.3">
      <c r="A3104" s="335">
        <v>43721</v>
      </c>
      <c r="B3104">
        <v>364.45639</v>
      </c>
      <c r="C3104" s="334">
        <f t="shared" si="48"/>
        <v>-2.0152239674265399E-2</v>
      </c>
    </row>
    <row r="3105" spans="1:3" x14ac:dyDescent="0.3">
      <c r="A3105" s="335">
        <v>43724</v>
      </c>
      <c r="B3105">
        <v>371.03793300000001</v>
      </c>
      <c r="C3105" s="334">
        <f t="shared" si="48"/>
        <v>1.8058519978206476E-2</v>
      </c>
    </row>
    <row r="3106" spans="1:3" x14ac:dyDescent="0.3">
      <c r="A3106" s="335">
        <v>43725</v>
      </c>
      <c r="B3106">
        <v>372.68338</v>
      </c>
      <c r="C3106" s="334">
        <f t="shared" si="48"/>
        <v>4.4347136873468676E-3</v>
      </c>
    </row>
    <row r="3107" spans="1:3" x14ac:dyDescent="0.3">
      <c r="A3107" s="335">
        <v>43726</v>
      </c>
      <c r="B3107">
        <v>361.53121900000002</v>
      </c>
      <c r="C3107" s="334">
        <f t="shared" si="48"/>
        <v>-2.9923955825451563E-2</v>
      </c>
    </row>
    <row r="3108" spans="1:3" x14ac:dyDescent="0.3">
      <c r="A3108" s="335">
        <v>43727</v>
      </c>
      <c r="B3108">
        <v>359.79440299999999</v>
      </c>
      <c r="C3108" s="334">
        <f t="shared" si="48"/>
        <v>-4.8040553864313251E-3</v>
      </c>
    </row>
    <row r="3109" spans="1:3" x14ac:dyDescent="0.3">
      <c r="A3109" s="335">
        <v>43728</v>
      </c>
      <c r="B3109">
        <v>368.75268599999998</v>
      </c>
      <c r="C3109" s="334">
        <f t="shared" si="48"/>
        <v>2.4898338954983674E-2</v>
      </c>
    </row>
    <row r="3110" spans="1:3" x14ac:dyDescent="0.3">
      <c r="A3110" s="335">
        <v>43731</v>
      </c>
      <c r="B3110">
        <v>368.29562399999998</v>
      </c>
      <c r="C3110" s="334">
        <f t="shared" si="48"/>
        <v>-1.2394811410268824E-3</v>
      </c>
    </row>
    <row r="3111" spans="1:3" x14ac:dyDescent="0.3">
      <c r="A3111" s="335">
        <v>43732</v>
      </c>
      <c r="B3111">
        <v>370.12383999999997</v>
      </c>
      <c r="C3111" s="334">
        <f t="shared" si="48"/>
        <v>4.9639905577591051E-3</v>
      </c>
    </row>
    <row r="3112" spans="1:3" x14ac:dyDescent="0.3">
      <c r="A3112" s="335">
        <v>43733</v>
      </c>
      <c r="B3112">
        <v>366.10177599999997</v>
      </c>
      <c r="C3112" s="334">
        <f t="shared" si="48"/>
        <v>-1.0866806093873879E-2</v>
      </c>
    </row>
    <row r="3113" spans="1:3" x14ac:dyDescent="0.3">
      <c r="A3113" s="335">
        <v>43734</v>
      </c>
      <c r="B3113">
        <v>363.450806</v>
      </c>
      <c r="C3113" s="334">
        <f t="shared" si="48"/>
        <v>-7.2410738591991222E-3</v>
      </c>
    </row>
    <row r="3114" spans="1:3" x14ac:dyDescent="0.3">
      <c r="A3114" s="335">
        <v>43735</v>
      </c>
      <c r="B3114">
        <v>364.273529</v>
      </c>
      <c r="C3114" s="334">
        <f t="shared" si="48"/>
        <v>2.2636433498513038E-3</v>
      </c>
    </row>
    <row r="3115" spans="1:3" x14ac:dyDescent="0.3">
      <c r="A3115" s="335">
        <v>43738</v>
      </c>
      <c r="B3115">
        <v>364.73056000000003</v>
      </c>
      <c r="C3115" s="334">
        <f t="shared" si="48"/>
        <v>1.2546368693181354E-3</v>
      </c>
    </row>
    <row r="3116" spans="1:3" x14ac:dyDescent="0.3">
      <c r="A3116" s="335">
        <v>43739</v>
      </c>
      <c r="B3116">
        <v>364.73056000000003</v>
      </c>
      <c r="C3116" s="334">
        <f t="shared" si="48"/>
        <v>0</v>
      </c>
    </row>
    <row r="3117" spans="1:3" x14ac:dyDescent="0.3">
      <c r="A3117" s="335">
        <v>43740</v>
      </c>
      <c r="B3117">
        <v>358.60601800000001</v>
      </c>
      <c r="C3117" s="334">
        <f t="shared" si="48"/>
        <v>-1.679196281221957E-2</v>
      </c>
    </row>
    <row r="3118" spans="1:3" x14ac:dyDescent="0.3">
      <c r="A3118" s="335">
        <v>43741</v>
      </c>
      <c r="B3118">
        <v>359.70297199999999</v>
      </c>
      <c r="C3118" s="334">
        <f t="shared" si="48"/>
        <v>3.0589391837813006E-3</v>
      </c>
    </row>
    <row r="3119" spans="1:3" x14ac:dyDescent="0.3">
      <c r="A3119" s="335">
        <v>43742</v>
      </c>
      <c r="B3119">
        <v>365.82751500000001</v>
      </c>
      <c r="C3119" s="334">
        <f t="shared" si="48"/>
        <v>1.7026667769650835E-2</v>
      </c>
    </row>
    <row r="3120" spans="1:3" x14ac:dyDescent="0.3">
      <c r="A3120" s="335">
        <v>43745</v>
      </c>
      <c r="B3120">
        <v>379.35638399999999</v>
      </c>
      <c r="C3120" s="334">
        <f t="shared" si="48"/>
        <v>3.6981551264671786E-2</v>
      </c>
    </row>
    <row r="3121" spans="1:3" x14ac:dyDescent="0.3">
      <c r="A3121" s="335">
        <v>43746</v>
      </c>
      <c r="B3121">
        <v>372.13491800000003</v>
      </c>
      <c r="C3121" s="334">
        <f t="shared" si="48"/>
        <v>-1.9036099837982334E-2</v>
      </c>
    </row>
    <row r="3122" spans="1:3" x14ac:dyDescent="0.3">
      <c r="A3122" s="335">
        <v>43747</v>
      </c>
      <c r="B3122">
        <v>369.48397799999998</v>
      </c>
      <c r="C3122" s="334">
        <f t="shared" si="48"/>
        <v>-7.1235991888298107E-3</v>
      </c>
    </row>
    <row r="3123" spans="1:3" x14ac:dyDescent="0.3">
      <c r="A3123" s="335">
        <v>43748</v>
      </c>
      <c r="B3123">
        <v>370.21527099999997</v>
      </c>
      <c r="C3123" s="334">
        <f t="shared" si="48"/>
        <v>1.979227905790258E-3</v>
      </c>
    </row>
    <row r="3124" spans="1:3" x14ac:dyDescent="0.3">
      <c r="A3124" s="335">
        <v>43749</v>
      </c>
      <c r="B3124">
        <v>370.03244000000001</v>
      </c>
      <c r="C3124" s="334">
        <f t="shared" si="48"/>
        <v>-4.9385050893798669E-4</v>
      </c>
    </row>
    <row r="3125" spans="1:3" x14ac:dyDescent="0.3">
      <c r="A3125" s="335">
        <v>43752</v>
      </c>
      <c r="B3125">
        <v>369.84960899999999</v>
      </c>
      <c r="C3125" s="334">
        <f t="shared" si="48"/>
        <v>-4.9409451776720307E-4</v>
      </c>
    </row>
    <row r="3126" spans="1:3" x14ac:dyDescent="0.3">
      <c r="A3126" s="335">
        <v>43753</v>
      </c>
      <c r="B3126">
        <v>376.06558200000001</v>
      </c>
      <c r="C3126" s="334">
        <f t="shared" si="48"/>
        <v>1.6806758338360227E-2</v>
      </c>
    </row>
    <row r="3127" spans="1:3" x14ac:dyDescent="0.3">
      <c r="A3127" s="335">
        <v>43754</v>
      </c>
      <c r="B3127">
        <v>389.868652</v>
      </c>
      <c r="C3127" s="334">
        <f t="shared" si="48"/>
        <v>3.6703890652774469E-2</v>
      </c>
    </row>
    <row r="3128" spans="1:3" x14ac:dyDescent="0.3">
      <c r="A3128" s="335">
        <v>43755</v>
      </c>
      <c r="B3128">
        <v>398.36987299999998</v>
      </c>
      <c r="C3128" s="334">
        <f t="shared" si="48"/>
        <v>2.1805346381119112E-2</v>
      </c>
    </row>
    <row r="3129" spans="1:3" x14ac:dyDescent="0.3">
      <c r="A3129" s="335">
        <v>43756</v>
      </c>
      <c r="B3129">
        <v>396.81588699999998</v>
      </c>
      <c r="C3129" s="334">
        <f t="shared" si="48"/>
        <v>-3.900862252201509E-3</v>
      </c>
    </row>
    <row r="3130" spans="1:3" x14ac:dyDescent="0.3">
      <c r="A3130" s="335">
        <v>43759</v>
      </c>
      <c r="B3130">
        <v>405.317139</v>
      </c>
      <c r="C3130" s="334">
        <f t="shared" si="48"/>
        <v>2.1423668453072853E-2</v>
      </c>
    </row>
    <row r="3131" spans="1:3" x14ac:dyDescent="0.3">
      <c r="A3131" s="335">
        <v>43760</v>
      </c>
      <c r="B3131">
        <v>402.84906000000001</v>
      </c>
      <c r="C3131" s="334">
        <f t="shared" si="48"/>
        <v>-6.0892539755146866E-3</v>
      </c>
    </row>
    <row r="3132" spans="1:3" x14ac:dyDescent="0.3">
      <c r="A3132" s="335">
        <v>43761</v>
      </c>
      <c r="B3132">
        <v>398.55273399999999</v>
      </c>
      <c r="C3132" s="334">
        <f t="shared" si="48"/>
        <v>-1.0664852984887247E-2</v>
      </c>
    </row>
    <row r="3133" spans="1:3" x14ac:dyDescent="0.3">
      <c r="A3133" s="335">
        <v>43762</v>
      </c>
      <c r="B3133">
        <v>404.86010700000003</v>
      </c>
      <c r="C3133" s="334">
        <f t="shared" si="48"/>
        <v>1.5825692466583458E-2</v>
      </c>
    </row>
    <row r="3134" spans="1:3" x14ac:dyDescent="0.3">
      <c r="A3134" s="335">
        <v>43763</v>
      </c>
      <c r="B3134">
        <v>396.17602499999998</v>
      </c>
      <c r="C3134" s="334">
        <f t="shared" si="48"/>
        <v>-2.1449586782824333E-2</v>
      </c>
    </row>
    <row r="3135" spans="1:3" x14ac:dyDescent="0.3">
      <c r="A3135" s="335">
        <v>43766</v>
      </c>
      <c r="B3135">
        <v>403.30612200000002</v>
      </c>
      <c r="C3135" s="334">
        <f t="shared" si="48"/>
        <v>1.7997295520343601E-2</v>
      </c>
    </row>
    <row r="3136" spans="1:3" x14ac:dyDescent="0.3">
      <c r="A3136" s="335">
        <v>43767</v>
      </c>
      <c r="B3136">
        <v>399.46682700000002</v>
      </c>
      <c r="C3136" s="334">
        <f t="shared" si="48"/>
        <v>-9.519555470571291E-3</v>
      </c>
    </row>
    <row r="3137" spans="1:3" x14ac:dyDescent="0.3">
      <c r="A3137" s="335">
        <v>43768</v>
      </c>
      <c r="B3137">
        <v>403.76318400000002</v>
      </c>
      <c r="C3137" s="334">
        <f t="shared" si="48"/>
        <v>1.0755228493604052E-2</v>
      </c>
    </row>
    <row r="3138" spans="1:3" x14ac:dyDescent="0.3">
      <c r="A3138" s="335">
        <v>43769</v>
      </c>
      <c r="B3138">
        <v>391.69689899999997</v>
      </c>
      <c r="C3138" s="334">
        <f t="shared" si="48"/>
        <v>-2.9884559757186901E-2</v>
      </c>
    </row>
    <row r="3139" spans="1:3" x14ac:dyDescent="0.3">
      <c r="A3139" s="335">
        <v>43770</v>
      </c>
      <c r="B3139">
        <v>390.87420700000001</v>
      </c>
      <c r="C3139" s="334">
        <f t="shared" si="48"/>
        <v>-2.1003280906749301E-3</v>
      </c>
    </row>
    <row r="3140" spans="1:3" x14ac:dyDescent="0.3">
      <c r="A3140" s="335">
        <v>43773</v>
      </c>
      <c r="B3140">
        <v>382.098724</v>
      </c>
      <c r="C3140" s="334">
        <f t="shared" si="48"/>
        <v>-2.2450913472528027E-2</v>
      </c>
    </row>
    <row r="3141" spans="1:3" x14ac:dyDescent="0.3">
      <c r="A3141" s="335">
        <v>43774</v>
      </c>
      <c r="B3141">
        <v>386.48644999999999</v>
      </c>
      <c r="C3141" s="334">
        <f t="shared" si="48"/>
        <v>1.148322599475623E-2</v>
      </c>
    </row>
    <row r="3142" spans="1:3" x14ac:dyDescent="0.3">
      <c r="A3142" s="335">
        <v>43775</v>
      </c>
      <c r="B3142">
        <v>394.34780899999998</v>
      </c>
      <c r="C3142" s="334">
        <f t="shared" ref="C3142:C3205" si="49">(B3142-B3141)/B3141</f>
        <v>2.0340581151033866E-2</v>
      </c>
    </row>
    <row r="3143" spans="1:3" x14ac:dyDescent="0.3">
      <c r="A3143" s="335">
        <v>43776</v>
      </c>
      <c r="B3143">
        <v>402.48339800000002</v>
      </c>
      <c r="C3143" s="334">
        <f t="shared" si="49"/>
        <v>2.0630491191596906E-2</v>
      </c>
    </row>
    <row r="3144" spans="1:3" x14ac:dyDescent="0.3">
      <c r="A3144" s="335">
        <v>43777</v>
      </c>
      <c r="B3144">
        <v>410.710419</v>
      </c>
      <c r="C3144" s="334">
        <f t="shared" si="49"/>
        <v>2.0440646846258188E-2</v>
      </c>
    </row>
    <row r="3145" spans="1:3" x14ac:dyDescent="0.3">
      <c r="A3145" s="335">
        <v>43780</v>
      </c>
      <c r="B3145">
        <v>407.78524800000002</v>
      </c>
      <c r="C3145" s="334">
        <f t="shared" si="49"/>
        <v>-7.1222225311989894E-3</v>
      </c>
    </row>
    <row r="3146" spans="1:3" x14ac:dyDescent="0.3">
      <c r="A3146" s="335">
        <v>43781</v>
      </c>
      <c r="B3146">
        <v>399.92385899999999</v>
      </c>
      <c r="C3146" s="334">
        <f t="shared" si="49"/>
        <v>-1.9278257461633409E-2</v>
      </c>
    </row>
    <row r="3147" spans="1:3" x14ac:dyDescent="0.3">
      <c r="A3147" s="335">
        <v>43782</v>
      </c>
      <c r="B3147">
        <v>398.00424199999998</v>
      </c>
      <c r="C3147" s="334">
        <f t="shared" si="49"/>
        <v>-4.7999561836594914E-3</v>
      </c>
    </row>
    <row r="3148" spans="1:3" x14ac:dyDescent="0.3">
      <c r="A3148" s="335">
        <v>43783</v>
      </c>
      <c r="B3148">
        <v>397.090149</v>
      </c>
      <c r="C3148" s="334">
        <f t="shared" si="49"/>
        <v>-2.2966916015934821E-3</v>
      </c>
    </row>
    <row r="3149" spans="1:3" x14ac:dyDescent="0.3">
      <c r="A3149" s="335">
        <v>43784</v>
      </c>
      <c r="B3149">
        <v>371.12936400000001</v>
      </c>
      <c r="C3149" s="334">
        <f t="shared" si="49"/>
        <v>-6.5377559895095735E-2</v>
      </c>
    </row>
    <row r="3150" spans="1:3" x14ac:dyDescent="0.3">
      <c r="A3150" s="335">
        <v>43787</v>
      </c>
      <c r="B3150">
        <v>369.30114700000001</v>
      </c>
      <c r="C3150" s="334">
        <f t="shared" si="49"/>
        <v>-4.9260909465519819E-3</v>
      </c>
    </row>
    <row r="3151" spans="1:3" x14ac:dyDescent="0.3">
      <c r="A3151" s="335">
        <v>43788</v>
      </c>
      <c r="B3151">
        <v>361.256958</v>
      </c>
      <c r="C3151" s="334">
        <f t="shared" si="49"/>
        <v>-2.1782193381598182E-2</v>
      </c>
    </row>
    <row r="3152" spans="1:3" x14ac:dyDescent="0.3">
      <c r="A3152" s="335">
        <v>43789</v>
      </c>
      <c r="B3152">
        <v>357.60055499999999</v>
      </c>
      <c r="C3152" s="334">
        <f t="shared" si="49"/>
        <v>-1.0121335849813616E-2</v>
      </c>
    </row>
    <row r="3153" spans="1:3" x14ac:dyDescent="0.3">
      <c r="A3153" s="335">
        <v>43790</v>
      </c>
      <c r="B3153">
        <v>361.62261999999998</v>
      </c>
      <c r="C3153" s="334">
        <f t="shared" si="49"/>
        <v>1.1247367890690209E-2</v>
      </c>
    </row>
    <row r="3154" spans="1:3" x14ac:dyDescent="0.3">
      <c r="A3154" s="335">
        <v>43791</v>
      </c>
      <c r="B3154">
        <v>366.467377</v>
      </c>
      <c r="C3154" s="334">
        <f t="shared" si="49"/>
        <v>1.3397273101997922E-2</v>
      </c>
    </row>
    <row r="3155" spans="1:3" x14ac:dyDescent="0.3">
      <c r="A3155" s="335">
        <v>43794</v>
      </c>
      <c r="B3155">
        <v>380.45330799999999</v>
      </c>
      <c r="C3155" s="334">
        <f t="shared" si="49"/>
        <v>3.8164191078869196E-2</v>
      </c>
    </row>
    <row r="3156" spans="1:3" x14ac:dyDescent="0.3">
      <c r="A3156" s="335">
        <v>43795</v>
      </c>
      <c r="B3156">
        <v>381.82449300000002</v>
      </c>
      <c r="C3156" s="334">
        <f t="shared" si="49"/>
        <v>3.6040822123697383E-3</v>
      </c>
    </row>
    <row r="3157" spans="1:3" x14ac:dyDescent="0.3">
      <c r="A3157" s="335">
        <v>43796</v>
      </c>
      <c r="B3157">
        <v>383.56130999999999</v>
      </c>
      <c r="C3157" s="334">
        <f t="shared" si="49"/>
        <v>4.5487312412930345E-3</v>
      </c>
    </row>
    <row r="3158" spans="1:3" x14ac:dyDescent="0.3">
      <c r="A3158" s="335">
        <v>43797</v>
      </c>
      <c r="B3158">
        <v>386.30361900000003</v>
      </c>
      <c r="C3158" s="334">
        <f t="shared" si="49"/>
        <v>7.1495975441319519E-3</v>
      </c>
    </row>
    <row r="3159" spans="1:3" x14ac:dyDescent="0.3">
      <c r="A3159" s="335">
        <v>43798</v>
      </c>
      <c r="B3159">
        <v>401.29504400000002</v>
      </c>
      <c r="C3159" s="334">
        <f t="shared" si="49"/>
        <v>3.8807363593453652E-2</v>
      </c>
    </row>
    <row r="3160" spans="1:3" x14ac:dyDescent="0.3">
      <c r="A3160" s="335">
        <v>43801</v>
      </c>
      <c r="B3160">
        <v>394.80487099999999</v>
      </c>
      <c r="C3160" s="334">
        <f t="shared" si="49"/>
        <v>-1.6173070405524438E-2</v>
      </c>
    </row>
    <row r="3161" spans="1:3" x14ac:dyDescent="0.3">
      <c r="A3161" s="335">
        <v>43802</v>
      </c>
      <c r="B3161">
        <v>395.993225</v>
      </c>
      <c r="C3161" s="334">
        <f t="shared" si="49"/>
        <v>3.0099780607823453E-3</v>
      </c>
    </row>
    <row r="3162" spans="1:3" x14ac:dyDescent="0.3">
      <c r="A3162" s="335">
        <v>43803</v>
      </c>
      <c r="B3162">
        <v>400.74658199999999</v>
      </c>
      <c r="C3162" s="334">
        <f t="shared" si="49"/>
        <v>1.2003632132847712E-2</v>
      </c>
    </row>
    <row r="3163" spans="1:3" x14ac:dyDescent="0.3">
      <c r="A3163" s="335">
        <v>43804</v>
      </c>
      <c r="B3163">
        <v>407.510986</v>
      </c>
      <c r="C3163" s="334">
        <f t="shared" si="49"/>
        <v>1.6879505163190669E-2</v>
      </c>
    </row>
    <row r="3164" spans="1:3" x14ac:dyDescent="0.3">
      <c r="A3164" s="335">
        <v>43805</v>
      </c>
      <c r="B3164">
        <v>410.527557</v>
      </c>
      <c r="C3164" s="334">
        <f t="shared" si="49"/>
        <v>7.4024286550154481E-3</v>
      </c>
    </row>
    <row r="3165" spans="1:3" x14ac:dyDescent="0.3">
      <c r="A3165" s="335">
        <v>43808</v>
      </c>
      <c r="B3165">
        <v>415.92086799999998</v>
      </c>
      <c r="C3165" s="334">
        <f t="shared" si="49"/>
        <v>1.3137512715132988E-2</v>
      </c>
    </row>
    <row r="3166" spans="1:3" x14ac:dyDescent="0.3">
      <c r="A3166" s="335">
        <v>43809</v>
      </c>
      <c r="B3166">
        <v>412.08157299999999</v>
      </c>
      <c r="C3166" s="334">
        <f t="shared" si="49"/>
        <v>-9.2308304184439069E-3</v>
      </c>
    </row>
    <row r="3167" spans="1:3" x14ac:dyDescent="0.3">
      <c r="A3167" s="335">
        <v>43810</v>
      </c>
      <c r="B3167">
        <v>409.33923299999998</v>
      </c>
      <c r="C3167" s="334">
        <f t="shared" si="49"/>
        <v>-6.6548474372087807E-3</v>
      </c>
    </row>
    <row r="3168" spans="1:3" x14ac:dyDescent="0.3">
      <c r="A3168" s="335">
        <v>43811</v>
      </c>
      <c r="B3168">
        <v>408.88217200000003</v>
      </c>
      <c r="C3168" s="334">
        <f t="shared" si="49"/>
        <v>-1.1165824410482377E-3</v>
      </c>
    </row>
    <row r="3169" spans="1:3" x14ac:dyDescent="0.3">
      <c r="A3169" s="335">
        <v>43812</v>
      </c>
      <c r="B3169">
        <v>410.25335699999999</v>
      </c>
      <c r="C3169" s="334">
        <f t="shared" si="49"/>
        <v>3.3534966645598048E-3</v>
      </c>
    </row>
    <row r="3170" spans="1:3" x14ac:dyDescent="0.3">
      <c r="A3170" s="335">
        <v>43815</v>
      </c>
      <c r="B3170">
        <v>411.807343</v>
      </c>
      <c r="C3170" s="334">
        <f t="shared" si="49"/>
        <v>3.7878690655053166E-3</v>
      </c>
    </row>
    <row r="3171" spans="1:3" x14ac:dyDescent="0.3">
      <c r="A3171" s="335">
        <v>43816</v>
      </c>
      <c r="B3171">
        <v>401.660706</v>
      </c>
      <c r="C3171" s="334">
        <f t="shared" si="49"/>
        <v>-2.4639281383576489E-2</v>
      </c>
    </row>
    <row r="3172" spans="1:3" x14ac:dyDescent="0.3">
      <c r="A3172" s="335">
        <v>43817</v>
      </c>
      <c r="B3172">
        <v>407.510986</v>
      </c>
      <c r="C3172" s="334">
        <f t="shared" si="49"/>
        <v>1.456522859370764E-2</v>
      </c>
    </row>
    <row r="3173" spans="1:3" x14ac:dyDescent="0.3">
      <c r="A3173" s="335">
        <v>43818</v>
      </c>
      <c r="B3173">
        <v>414.18402099999997</v>
      </c>
      <c r="C3173" s="334">
        <f t="shared" si="49"/>
        <v>1.6375104547488126E-2</v>
      </c>
    </row>
    <row r="3174" spans="1:3" x14ac:dyDescent="0.3">
      <c r="A3174" s="335">
        <v>43819</v>
      </c>
      <c r="B3174">
        <v>421.31411700000001</v>
      </c>
      <c r="C3174" s="334">
        <f t="shared" si="49"/>
        <v>1.7214802209861296E-2</v>
      </c>
    </row>
    <row r="3175" spans="1:3" x14ac:dyDescent="0.3">
      <c r="A3175" s="335">
        <v>43822</v>
      </c>
      <c r="B3175">
        <v>416.19506799999999</v>
      </c>
      <c r="C3175" s="334">
        <f t="shared" si="49"/>
        <v>-1.2150195764743431E-2</v>
      </c>
    </row>
    <row r="3176" spans="1:3" x14ac:dyDescent="0.3">
      <c r="A3176" s="335">
        <v>43826</v>
      </c>
      <c r="B3176">
        <v>419.39447000000001</v>
      </c>
      <c r="C3176" s="334">
        <f t="shared" si="49"/>
        <v>7.6872655300182953E-3</v>
      </c>
    </row>
    <row r="3177" spans="1:3" x14ac:dyDescent="0.3">
      <c r="A3177" s="335">
        <v>43829</v>
      </c>
      <c r="B3177">
        <v>410.710419</v>
      </c>
      <c r="C3177" s="334">
        <f t="shared" si="49"/>
        <v>-2.0706164771319018E-2</v>
      </c>
    </row>
    <row r="3178" spans="1:3" x14ac:dyDescent="0.3">
      <c r="A3178" s="335">
        <v>43832</v>
      </c>
      <c r="B3178">
        <v>415.00671399999999</v>
      </c>
      <c r="C3178" s="334">
        <f t="shared" si="49"/>
        <v>1.046064283068501E-2</v>
      </c>
    </row>
    <row r="3179" spans="1:3" x14ac:dyDescent="0.3">
      <c r="A3179" s="335">
        <v>43833</v>
      </c>
      <c r="B3179">
        <v>414.91531400000002</v>
      </c>
      <c r="C3179" s="334">
        <f t="shared" si="49"/>
        <v>-2.2023740078567651E-4</v>
      </c>
    </row>
    <row r="3180" spans="1:3" x14ac:dyDescent="0.3">
      <c r="A3180" s="335">
        <v>43836</v>
      </c>
      <c r="B3180">
        <v>414.54968300000002</v>
      </c>
      <c r="C3180" s="334">
        <f t="shared" si="49"/>
        <v>-8.8121837797485478E-4</v>
      </c>
    </row>
    <row r="3181" spans="1:3" x14ac:dyDescent="0.3">
      <c r="A3181" s="335">
        <v>43837</v>
      </c>
      <c r="B3181">
        <v>409.24783300000001</v>
      </c>
      <c r="C3181" s="334">
        <f t="shared" si="49"/>
        <v>-1.2789419983707964E-2</v>
      </c>
    </row>
    <row r="3182" spans="1:3" x14ac:dyDescent="0.3">
      <c r="A3182" s="335">
        <v>43838</v>
      </c>
      <c r="B3182">
        <v>412.99569700000001</v>
      </c>
      <c r="C3182" s="334">
        <f t="shared" si="49"/>
        <v>9.1579324257533515E-3</v>
      </c>
    </row>
    <row r="3183" spans="1:3" x14ac:dyDescent="0.3">
      <c r="A3183" s="335">
        <v>43839</v>
      </c>
      <c r="B3183">
        <v>419.85153200000002</v>
      </c>
      <c r="C3183" s="334">
        <f t="shared" si="49"/>
        <v>1.6600257701958606E-2</v>
      </c>
    </row>
    <row r="3184" spans="1:3" x14ac:dyDescent="0.3">
      <c r="A3184" s="335">
        <v>43840</v>
      </c>
      <c r="B3184">
        <v>418.20614599999999</v>
      </c>
      <c r="C3184" s="334">
        <f t="shared" si="49"/>
        <v>-3.9189710518908634E-3</v>
      </c>
    </row>
    <row r="3185" spans="1:3" x14ac:dyDescent="0.3">
      <c r="A3185" s="335">
        <v>43843</v>
      </c>
      <c r="B3185">
        <v>429.35830700000002</v>
      </c>
      <c r="C3185" s="334">
        <f t="shared" si="49"/>
        <v>2.6666659748228651E-2</v>
      </c>
    </row>
    <row r="3186" spans="1:3" x14ac:dyDescent="0.3">
      <c r="A3186" s="335">
        <v>43844</v>
      </c>
      <c r="B3186">
        <v>428.16995200000002</v>
      </c>
      <c r="C3186" s="334">
        <f t="shared" si="49"/>
        <v>-2.7677466130869603E-3</v>
      </c>
    </row>
    <row r="3187" spans="1:3" x14ac:dyDescent="0.3">
      <c r="A3187" s="335">
        <v>43845</v>
      </c>
      <c r="B3187">
        <v>425.51901199999998</v>
      </c>
      <c r="C3187" s="334">
        <f t="shared" si="49"/>
        <v>-6.1913265693152803E-3</v>
      </c>
    </row>
    <row r="3188" spans="1:3" x14ac:dyDescent="0.3">
      <c r="A3188" s="335">
        <v>43846</v>
      </c>
      <c r="B3188">
        <v>420.765625</v>
      </c>
      <c r="C3188" s="334">
        <f t="shared" si="49"/>
        <v>-1.1170798168707854E-2</v>
      </c>
    </row>
    <row r="3189" spans="1:3" x14ac:dyDescent="0.3">
      <c r="A3189" s="335">
        <v>43847</v>
      </c>
      <c r="B3189">
        <v>419.577271</v>
      </c>
      <c r="C3189" s="334">
        <f t="shared" si="49"/>
        <v>-2.8242658843625926E-3</v>
      </c>
    </row>
    <row r="3190" spans="1:3" x14ac:dyDescent="0.3">
      <c r="A3190" s="335">
        <v>43850</v>
      </c>
      <c r="B3190">
        <v>424.69632000000001</v>
      </c>
      <c r="C3190" s="334">
        <f t="shared" si="49"/>
        <v>1.2200491670579596E-2</v>
      </c>
    </row>
    <row r="3191" spans="1:3" x14ac:dyDescent="0.3">
      <c r="A3191" s="335">
        <v>43851</v>
      </c>
      <c r="B3191">
        <v>424.14782700000001</v>
      </c>
      <c r="C3191" s="334">
        <f t="shared" si="49"/>
        <v>-1.2914945907701947E-3</v>
      </c>
    </row>
    <row r="3192" spans="1:3" x14ac:dyDescent="0.3">
      <c r="A3192" s="335">
        <v>43852</v>
      </c>
      <c r="B3192">
        <v>424.78771999999998</v>
      </c>
      <c r="C3192" s="334">
        <f t="shared" si="49"/>
        <v>1.5086556131288921E-3</v>
      </c>
    </row>
    <row r="3193" spans="1:3" x14ac:dyDescent="0.3">
      <c r="A3193" s="335">
        <v>43853</v>
      </c>
      <c r="B3193">
        <v>421.95400999999998</v>
      </c>
      <c r="C3193" s="334">
        <f t="shared" si="49"/>
        <v>-6.6708849304777376E-3</v>
      </c>
    </row>
    <row r="3194" spans="1:3" x14ac:dyDescent="0.3">
      <c r="A3194" s="335">
        <v>43854</v>
      </c>
      <c r="B3194">
        <v>432.37484699999999</v>
      </c>
      <c r="C3194" s="334">
        <f t="shared" si="49"/>
        <v>2.469661800346442E-2</v>
      </c>
    </row>
    <row r="3195" spans="1:3" x14ac:dyDescent="0.3">
      <c r="A3195" s="335">
        <v>43857</v>
      </c>
      <c r="B3195">
        <v>427.25582900000001</v>
      </c>
      <c r="C3195" s="334">
        <f t="shared" si="49"/>
        <v>-1.1839305721685477E-2</v>
      </c>
    </row>
    <row r="3196" spans="1:3" x14ac:dyDescent="0.3">
      <c r="A3196" s="335">
        <v>43858</v>
      </c>
      <c r="B3196">
        <v>428.90124500000002</v>
      </c>
      <c r="C3196" s="334">
        <f t="shared" si="49"/>
        <v>3.851125925774114E-3</v>
      </c>
    </row>
    <row r="3197" spans="1:3" x14ac:dyDescent="0.3">
      <c r="A3197" s="335">
        <v>43859</v>
      </c>
      <c r="B3197">
        <v>420.49139400000001</v>
      </c>
      <c r="C3197" s="334">
        <f t="shared" si="49"/>
        <v>-1.9607895985473307E-2</v>
      </c>
    </row>
    <row r="3198" spans="1:3" x14ac:dyDescent="0.3">
      <c r="A3198" s="335">
        <v>43860</v>
      </c>
      <c r="B3198">
        <v>417.749054</v>
      </c>
      <c r="C3198" s="334">
        <f t="shared" si="49"/>
        <v>-6.5217505973499488E-3</v>
      </c>
    </row>
    <row r="3199" spans="1:3" x14ac:dyDescent="0.3">
      <c r="A3199" s="335">
        <v>43861</v>
      </c>
      <c r="B3199">
        <v>412.90429699999999</v>
      </c>
      <c r="C3199" s="334">
        <f t="shared" si="49"/>
        <v>-1.1597290176029975E-2</v>
      </c>
    </row>
    <row r="3200" spans="1:3" x14ac:dyDescent="0.3">
      <c r="A3200" s="335">
        <v>43864</v>
      </c>
      <c r="B3200">
        <v>414.64111300000002</v>
      </c>
      <c r="C3200" s="334">
        <f t="shared" si="49"/>
        <v>4.2063403375044873E-3</v>
      </c>
    </row>
    <row r="3201" spans="1:3" x14ac:dyDescent="0.3">
      <c r="A3201" s="335">
        <v>43865</v>
      </c>
      <c r="B3201">
        <v>410.16195699999997</v>
      </c>
      <c r="C3201" s="334">
        <f t="shared" si="49"/>
        <v>-1.0802488850159067E-2</v>
      </c>
    </row>
    <row r="3202" spans="1:3" x14ac:dyDescent="0.3">
      <c r="A3202" s="335">
        <v>43866</v>
      </c>
      <c r="B3202">
        <v>415.73800699999998</v>
      </c>
      <c r="C3202" s="334">
        <f t="shared" si="49"/>
        <v>1.3594751792156115E-2</v>
      </c>
    </row>
    <row r="3203" spans="1:3" x14ac:dyDescent="0.3">
      <c r="A3203" s="335">
        <v>43867</v>
      </c>
      <c r="B3203">
        <v>418.38894699999997</v>
      </c>
      <c r="C3203" s="334">
        <f t="shared" si="49"/>
        <v>6.376467764228233E-3</v>
      </c>
    </row>
    <row r="3204" spans="1:3" x14ac:dyDescent="0.3">
      <c r="A3204" s="335">
        <v>43868</v>
      </c>
      <c r="B3204">
        <v>410.527557</v>
      </c>
      <c r="C3204" s="334">
        <f t="shared" si="49"/>
        <v>-1.8789669412562115E-2</v>
      </c>
    </row>
    <row r="3205" spans="1:3" x14ac:dyDescent="0.3">
      <c r="A3205" s="335">
        <v>43871</v>
      </c>
      <c r="B3205">
        <v>412.72146600000002</v>
      </c>
      <c r="C3205" s="334">
        <f t="shared" si="49"/>
        <v>5.3441211499476006E-3</v>
      </c>
    </row>
    <row r="3206" spans="1:3" x14ac:dyDescent="0.3">
      <c r="A3206" s="335">
        <v>43872</v>
      </c>
      <c r="B3206">
        <v>410.80181900000002</v>
      </c>
      <c r="C3206" s="334">
        <f t="shared" ref="C3206:C3269" si="50">(B3206-B3205)/B3205</f>
        <v>-4.6511925308968484E-3</v>
      </c>
    </row>
    <row r="3207" spans="1:3" x14ac:dyDescent="0.3">
      <c r="A3207" s="335">
        <v>43873</v>
      </c>
      <c r="B3207">
        <v>411.35031099999998</v>
      </c>
      <c r="C3207" s="334">
        <f t="shared" si="50"/>
        <v>1.3351742242406024E-3</v>
      </c>
    </row>
    <row r="3208" spans="1:3" x14ac:dyDescent="0.3">
      <c r="A3208" s="335">
        <v>43874</v>
      </c>
      <c r="B3208">
        <v>411.533142</v>
      </c>
      <c r="C3208" s="334">
        <f t="shared" si="50"/>
        <v>4.44465447359347E-4</v>
      </c>
    </row>
    <row r="3209" spans="1:3" x14ac:dyDescent="0.3">
      <c r="A3209" s="335">
        <v>43875</v>
      </c>
      <c r="B3209">
        <v>419.94293199999998</v>
      </c>
      <c r="C3209" s="334">
        <f t="shared" si="50"/>
        <v>2.0435267884208429E-2</v>
      </c>
    </row>
    <row r="3210" spans="1:3" x14ac:dyDescent="0.3">
      <c r="A3210" s="335">
        <v>43878</v>
      </c>
      <c r="B3210">
        <v>428.35275300000001</v>
      </c>
      <c r="C3210" s="334">
        <f t="shared" si="50"/>
        <v>2.0026104404109894E-2</v>
      </c>
    </row>
    <row r="3211" spans="1:3" x14ac:dyDescent="0.3">
      <c r="A3211" s="335">
        <v>43879</v>
      </c>
      <c r="B3211">
        <v>431.55215500000003</v>
      </c>
      <c r="C3211" s="334">
        <f t="shared" si="50"/>
        <v>7.4690823803343701E-3</v>
      </c>
    </row>
    <row r="3212" spans="1:3" x14ac:dyDescent="0.3">
      <c r="A3212" s="335">
        <v>43880</v>
      </c>
      <c r="B3212">
        <v>442.15588400000001</v>
      </c>
      <c r="C3212" s="334">
        <f t="shared" si="50"/>
        <v>2.4571141349068196E-2</v>
      </c>
    </row>
    <row r="3213" spans="1:3" x14ac:dyDescent="0.3">
      <c r="A3213" s="335">
        <v>43881</v>
      </c>
      <c r="B3213">
        <v>438.40798999999998</v>
      </c>
      <c r="C3213" s="334">
        <f t="shared" si="50"/>
        <v>-8.4764087409499016E-3</v>
      </c>
    </row>
    <row r="3214" spans="1:3" x14ac:dyDescent="0.3">
      <c r="A3214" s="335">
        <v>43882</v>
      </c>
      <c r="B3214">
        <v>445.263824</v>
      </c>
      <c r="C3214" s="334">
        <f t="shared" si="50"/>
        <v>1.5638022473084982E-2</v>
      </c>
    </row>
    <row r="3215" spans="1:3" x14ac:dyDescent="0.3">
      <c r="A3215" s="335">
        <v>43885</v>
      </c>
      <c r="B3215">
        <v>422.95950299999998</v>
      </c>
      <c r="C3215" s="334">
        <f t="shared" si="50"/>
        <v>-5.0092371753066592E-2</v>
      </c>
    </row>
    <row r="3216" spans="1:3" x14ac:dyDescent="0.3">
      <c r="A3216" s="335">
        <v>43886</v>
      </c>
      <c r="B3216">
        <v>422.04541</v>
      </c>
      <c r="C3216" s="334">
        <f t="shared" si="50"/>
        <v>-2.1611832658125188E-3</v>
      </c>
    </row>
    <row r="3217" spans="1:3" x14ac:dyDescent="0.3">
      <c r="A3217" s="335">
        <v>43887</v>
      </c>
      <c r="B3217">
        <v>410.07055700000001</v>
      </c>
      <c r="C3217" s="334">
        <f t="shared" si="50"/>
        <v>-2.8373375746462912E-2</v>
      </c>
    </row>
    <row r="3218" spans="1:3" x14ac:dyDescent="0.3">
      <c r="A3218" s="335">
        <v>43888</v>
      </c>
      <c r="B3218">
        <v>393.61651599999999</v>
      </c>
      <c r="C3218" s="334">
        <f t="shared" si="50"/>
        <v>-4.0124902212864841E-2</v>
      </c>
    </row>
    <row r="3219" spans="1:3" x14ac:dyDescent="0.3">
      <c r="A3219" s="335">
        <v>43889</v>
      </c>
      <c r="B3219">
        <v>384.47543300000001</v>
      </c>
      <c r="C3219" s="334">
        <f t="shared" si="50"/>
        <v>-2.3223321757159146E-2</v>
      </c>
    </row>
    <row r="3220" spans="1:3" x14ac:dyDescent="0.3">
      <c r="A3220" s="335">
        <v>43892</v>
      </c>
      <c r="B3220">
        <v>381.09316999999999</v>
      </c>
      <c r="C3220" s="334">
        <f t="shared" si="50"/>
        <v>-8.7970848322057107E-3</v>
      </c>
    </row>
    <row r="3221" spans="1:3" x14ac:dyDescent="0.3">
      <c r="A3221" s="335">
        <v>43893</v>
      </c>
      <c r="B3221">
        <v>393.15948500000002</v>
      </c>
      <c r="C3221" s="334">
        <f t="shared" si="50"/>
        <v>3.1662375371356119E-2</v>
      </c>
    </row>
    <row r="3222" spans="1:3" x14ac:dyDescent="0.3">
      <c r="A3222" s="335">
        <v>43894</v>
      </c>
      <c r="B3222">
        <v>399.83245799999997</v>
      </c>
      <c r="C3222" s="334">
        <f t="shared" si="50"/>
        <v>1.6972687305254652E-2</v>
      </c>
    </row>
    <row r="3223" spans="1:3" x14ac:dyDescent="0.3">
      <c r="A3223" s="335">
        <v>43895</v>
      </c>
      <c r="B3223">
        <v>399.64968900000002</v>
      </c>
      <c r="C3223" s="334">
        <f t="shared" si="50"/>
        <v>-4.5711396446946456E-4</v>
      </c>
    </row>
    <row r="3224" spans="1:3" x14ac:dyDescent="0.3">
      <c r="A3224" s="335">
        <v>43896</v>
      </c>
      <c r="B3224">
        <v>384.65820300000001</v>
      </c>
      <c r="C3224" s="334">
        <f t="shared" si="50"/>
        <v>-3.7511566786181103E-2</v>
      </c>
    </row>
    <row r="3225" spans="1:3" x14ac:dyDescent="0.3">
      <c r="A3225" s="335">
        <v>43899</v>
      </c>
      <c r="B3225">
        <v>383.28707900000001</v>
      </c>
      <c r="C3225" s="334">
        <f t="shared" si="50"/>
        <v>-3.5645255692103592E-3</v>
      </c>
    </row>
    <row r="3226" spans="1:3" x14ac:dyDescent="0.3">
      <c r="A3226" s="335">
        <v>43900</v>
      </c>
      <c r="B3226">
        <v>393.342285</v>
      </c>
      <c r="C3226" s="334">
        <f t="shared" si="50"/>
        <v>2.6234137676214225E-2</v>
      </c>
    </row>
    <row r="3227" spans="1:3" x14ac:dyDescent="0.3">
      <c r="A3227" s="335">
        <v>43901</v>
      </c>
      <c r="B3227">
        <v>378.07663000000002</v>
      </c>
      <c r="C3227" s="334">
        <f t="shared" si="50"/>
        <v>-3.8810104029369692E-2</v>
      </c>
    </row>
    <row r="3228" spans="1:3" x14ac:dyDescent="0.3">
      <c r="A3228" s="335">
        <v>43902</v>
      </c>
      <c r="B3228">
        <v>336.66735799999998</v>
      </c>
      <c r="C3228" s="334">
        <f t="shared" si="50"/>
        <v>-0.10952613495311794</v>
      </c>
    </row>
    <row r="3229" spans="1:3" x14ac:dyDescent="0.3">
      <c r="A3229" s="335">
        <v>43903</v>
      </c>
      <c r="B3229">
        <v>372.86617999999999</v>
      </c>
      <c r="C3229" s="334">
        <f t="shared" si="50"/>
        <v>0.10752103267463194</v>
      </c>
    </row>
    <row r="3230" spans="1:3" x14ac:dyDescent="0.3">
      <c r="A3230" s="335">
        <v>43906</v>
      </c>
      <c r="B3230">
        <v>365.00479100000001</v>
      </c>
      <c r="C3230" s="334">
        <f t="shared" si="50"/>
        <v>-2.1083674040911875E-2</v>
      </c>
    </row>
    <row r="3231" spans="1:3" x14ac:dyDescent="0.3">
      <c r="A3231" s="335">
        <v>43907</v>
      </c>
      <c r="B3231">
        <v>349.55630500000001</v>
      </c>
      <c r="C3231" s="334">
        <f t="shared" si="50"/>
        <v>-4.2324063631263412E-2</v>
      </c>
    </row>
    <row r="3232" spans="1:3" x14ac:dyDescent="0.3">
      <c r="A3232" s="335">
        <v>43908</v>
      </c>
      <c r="B3232">
        <v>354.49255399999998</v>
      </c>
      <c r="C3232" s="334">
        <f t="shared" si="50"/>
        <v>1.4121470359403115E-2</v>
      </c>
    </row>
    <row r="3233" spans="1:3" x14ac:dyDescent="0.3">
      <c r="A3233" s="335">
        <v>43909</v>
      </c>
      <c r="B3233">
        <v>378.25943000000001</v>
      </c>
      <c r="C3233" s="334">
        <f t="shared" si="50"/>
        <v>6.7044781989976654E-2</v>
      </c>
    </row>
    <row r="3234" spans="1:3" x14ac:dyDescent="0.3">
      <c r="A3234" s="335">
        <v>43910</v>
      </c>
      <c r="B3234">
        <v>370.30667099999999</v>
      </c>
      <c r="C3234" s="334">
        <f t="shared" si="50"/>
        <v>-2.1024615301725631E-2</v>
      </c>
    </row>
    <row r="3235" spans="1:3" x14ac:dyDescent="0.3">
      <c r="A3235" s="335">
        <v>43913</v>
      </c>
      <c r="B3235">
        <v>356.41217</v>
      </c>
      <c r="C3235" s="334">
        <f t="shared" si="50"/>
        <v>-3.7521605977225272E-2</v>
      </c>
    </row>
    <row r="3236" spans="1:3" x14ac:dyDescent="0.3">
      <c r="A3236" s="335">
        <v>43914</v>
      </c>
      <c r="B3236">
        <v>357.417664</v>
      </c>
      <c r="C3236" s="334">
        <f t="shared" si="50"/>
        <v>2.8211550688631054E-3</v>
      </c>
    </row>
    <row r="3237" spans="1:3" x14ac:dyDescent="0.3">
      <c r="A3237" s="335">
        <v>43915</v>
      </c>
      <c r="B3237">
        <v>331.82257099999998</v>
      </c>
      <c r="C3237" s="334">
        <f t="shared" si="50"/>
        <v>-7.1611158535242456E-2</v>
      </c>
    </row>
    <row r="3238" spans="1:3" x14ac:dyDescent="0.3">
      <c r="A3238" s="335">
        <v>43916</v>
      </c>
      <c r="B3238">
        <v>324.96673600000003</v>
      </c>
      <c r="C3238" s="334">
        <f t="shared" si="50"/>
        <v>-2.0661147249081972E-2</v>
      </c>
    </row>
    <row r="3239" spans="1:3" x14ac:dyDescent="0.3">
      <c r="A3239" s="335">
        <v>43917</v>
      </c>
      <c r="B3239">
        <v>303.48510700000003</v>
      </c>
      <c r="C3239" s="334">
        <f t="shared" si="50"/>
        <v>-6.6104085804031334E-2</v>
      </c>
    </row>
    <row r="3240" spans="1:3" x14ac:dyDescent="0.3">
      <c r="A3240" s="335">
        <v>43920</v>
      </c>
      <c r="B3240">
        <v>305.313354</v>
      </c>
      <c r="C3240" s="334">
        <f t="shared" si="50"/>
        <v>6.0241737002269969E-3</v>
      </c>
    </row>
    <row r="3241" spans="1:3" x14ac:dyDescent="0.3">
      <c r="A3241" s="335">
        <v>43921</v>
      </c>
      <c r="B3241">
        <v>317.562408</v>
      </c>
      <c r="C3241" s="334">
        <f t="shared" si="50"/>
        <v>4.0119614289783084E-2</v>
      </c>
    </row>
    <row r="3242" spans="1:3" x14ac:dyDescent="0.3">
      <c r="A3242" s="335">
        <v>43922</v>
      </c>
      <c r="B3242">
        <v>349.55630500000001</v>
      </c>
      <c r="C3242" s="334">
        <f t="shared" si="50"/>
        <v>0.10074837636323757</v>
      </c>
    </row>
    <row r="3243" spans="1:3" x14ac:dyDescent="0.3">
      <c r="A3243" s="335">
        <v>43923</v>
      </c>
      <c r="B3243">
        <v>337.12439000000001</v>
      </c>
      <c r="C3243" s="334">
        <f t="shared" si="50"/>
        <v>-3.5564842693940259E-2</v>
      </c>
    </row>
    <row r="3244" spans="1:3" x14ac:dyDescent="0.3">
      <c r="A3244" s="335">
        <v>43924</v>
      </c>
      <c r="B3244">
        <v>334.29068000000001</v>
      </c>
      <c r="C3244" s="334">
        <f t="shared" si="50"/>
        <v>-8.4055324504999362E-3</v>
      </c>
    </row>
    <row r="3245" spans="1:3" x14ac:dyDescent="0.3">
      <c r="A3245" s="335">
        <v>43927</v>
      </c>
      <c r="B3245">
        <v>346.08270299999998</v>
      </c>
      <c r="C3245" s="334">
        <f t="shared" si="50"/>
        <v>3.5274758482647411E-2</v>
      </c>
    </row>
    <row r="3246" spans="1:3" x14ac:dyDescent="0.3">
      <c r="A3246" s="335">
        <v>43928</v>
      </c>
      <c r="B3246">
        <v>358.97167999999999</v>
      </c>
      <c r="C3246" s="334">
        <f t="shared" si="50"/>
        <v>3.7242476692052454E-2</v>
      </c>
    </row>
    <row r="3247" spans="1:3" x14ac:dyDescent="0.3">
      <c r="A3247" s="335">
        <v>43929</v>
      </c>
      <c r="B3247">
        <v>348.18515000000002</v>
      </c>
      <c r="C3247" s="334">
        <f t="shared" si="50"/>
        <v>-3.0048414961313857E-2</v>
      </c>
    </row>
    <row r="3248" spans="1:3" x14ac:dyDescent="0.3">
      <c r="A3248" s="335">
        <v>43935</v>
      </c>
      <c r="B3248">
        <v>371.58642600000002</v>
      </c>
      <c r="C3248" s="334">
        <f t="shared" si="50"/>
        <v>6.7209287932009726E-2</v>
      </c>
    </row>
    <row r="3249" spans="1:3" x14ac:dyDescent="0.3">
      <c r="A3249" s="335">
        <v>43936</v>
      </c>
      <c r="B3249">
        <v>367.74713100000002</v>
      </c>
      <c r="C3249" s="334">
        <f t="shared" si="50"/>
        <v>-1.0332172359815943E-2</v>
      </c>
    </row>
    <row r="3250" spans="1:3" x14ac:dyDescent="0.3">
      <c r="A3250" s="335">
        <v>43937</v>
      </c>
      <c r="B3250">
        <v>367.01586900000001</v>
      </c>
      <c r="C3250" s="334">
        <f t="shared" si="50"/>
        <v>-1.988491379964063E-3</v>
      </c>
    </row>
    <row r="3251" spans="1:3" x14ac:dyDescent="0.3">
      <c r="A3251" s="335">
        <v>43938</v>
      </c>
      <c r="B3251">
        <v>379.17352299999999</v>
      </c>
      <c r="C3251" s="334">
        <f t="shared" si="50"/>
        <v>3.3125690268177424E-2</v>
      </c>
    </row>
    <row r="3252" spans="1:3" x14ac:dyDescent="0.3">
      <c r="A3252" s="335">
        <v>43941</v>
      </c>
      <c r="B3252">
        <v>366.650238</v>
      </c>
      <c r="C3252" s="334">
        <f t="shared" si="50"/>
        <v>-3.3027846725468719E-2</v>
      </c>
    </row>
    <row r="3253" spans="1:3" x14ac:dyDescent="0.3">
      <c r="A3253" s="335">
        <v>43942</v>
      </c>
      <c r="B3253">
        <v>369.48397799999998</v>
      </c>
      <c r="C3253" s="334">
        <f t="shared" si="50"/>
        <v>7.7287281073576651E-3</v>
      </c>
    </row>
    <row r="3254" spans="1:3" x14ac:dyDescent="0.3">
      <c r="A3254" s="335">
        <v>43943</v>
      </c>
      <c r="B3254">
        <v>372.04351800000001</v>
      </c>
      <c r="C3254" s="334">
        <f t="shared" si="50"/>
        <v>6.9273369141869172E-3</v>
      </c>
    </row>
    <row r="3255" spans="1:3" x14ac:dyDescent="0.3">
      <c r="A3255" s="335">
        <v>43944</v>
      </c>
      <c r="B3255">
        <v>373.78027300000002</v>
      </c>
      <c r="C3255" s="334">
        <f t="shared" si="50"/>
        <v>4.6681501382857486E-3</v>
      </c>
    </row>
    <row r="3256" spans="1:3" x14ac:dyDescent="0.3">
      <c r="A3256" s="335">
        <v>43945</v>
      </c>
      <c r="B3256">
        <v>366.55877700000002</v>
      </c>
      <c r="C3256" s="334">
        <f t="shared" si="50"/>
        <v>-1.9320163533616985E-2</v>
      </c>
    </row>
    <row r="3257" spans="1:3" x14ac:dyDescent="0.3">
      <c r="A3257" s="335">
        <v>43948</v>
      </c>
      <c r="B3257">
        <v>371.12936400000001</v>
      </c>
      <c r="C3257" s="334">
        <f t="shared" si="50"/>
        <v>1.2468906180358598E-2</v>
      </c>
    </row>
    <row r="3258" spans="1:3" x14ac:dyDescent="0.3">
      <c r="A3258" s="335">
        <v>43949</v>
      </c>
      <c r="B3258">
        <v>376.61407500000001</v>
      </c>
      <c r="C3258" s="334">
        <f t="shared" si="50"/>
        <v>1.4778434508351122E-2</v>
      </c>
    </row>
    <row r="3259" spans="1:3" x14ac:dyDescent="0.3">
      <c r="A3259" s="335">
        <v>43950</v>
      </c>
      <c r="B3259">
        <v>365.64468399999998</v>
      </c>
      <c r="C3259" s="334">
        <f t="shared" si="50"/>
        <v>-2.9126343724673671E-2</v>
      </c>
    </row>
    <row r="3260" spans="1:3" x14ac:dyDescent="0.3">
      <c r="A3260" s="335">
        <v>43951</v>
      </c>
      <c r="B3260">
        <v>365.64468399999998</v>
      </c>
      <c r="C3260" s="334">
        <f t="shared" si="50"/>
        <v>0</v>
      </c>
    </row>
    <row r="3261" spans="1:3" x14ac:dyDescent="0.3">
      <c r="A3261" s="335">
        <v>43955</v>
      </c>
      <c r="B3261">
        <v>371.22079500000001</v>
      </c>
      <c r="C3261" s="334">
        <f t="shared" si="50"/>
        <v>1.525008086812504E-2</v>
      </c>
    </row>
    <row r="3262" spans="1:3" x14ac:dyDescent="0.3">
      <c r="A3262" s="335">
        <v>43956</v>
      </c>
      <c r="B3262">
        <v>368.93551600000001</v>
      </c>
      <c r="C3262" s="334">
        <f t="shared" si="50"/>
        <v>-6.156117951312514E-3</v>
      </c>
    </row>
    <row r="3263" spans="1:3" x14ac:dyDescent="0.3">
      <c r="A3263" s="335">
        <v>43957</v>
      </c>
      <c r="B3263">
        <v>373.688873</v>
      </c>
      <c r="C3263" s="334">
        <f t="shared" si="50"/>
        <v>1.2883977806029371E-2</v>
      </c>
    </row>
    <row r="3264" spans="1:3" x14ac:dyDescent="0.3">
      <c r="A3264" s="335">
        <v>43958</v>
      </c>
      <c r="B3264">
        <v>375.06005900000002</v>
      </c>
      <c r="C3264" s="334">
        <f t="shared" si="50"/>
        <v>3.6693252035899472E-3</v>
      </c>
    </row>
    <row r="3265" spans="1:3" x14ac:dyDescent="0.3">
      <c r="A3265" s="335">
        <v>43959</v>
      </c>
      <c r="B3265">
        <v>388.86312900000001</v>
      </c>
      <c r="C3265" s="334">
        <f t="shared" si="50"/>
        <v>3.6802292509637742E-2</v>
      </c>
    </row>
    <row r="3266" spans="1:3" x14ac:dyDescent="0.3">
      <c r="A3266" s="335">
        <v>43962</v>
      </c>
      <c r="B3266">
        <v>386.57785000000001</v>
      </c>
      <c r="C3266" s="334">
        <f t="shared" si="50"/>
        <v>-5.8768209932292207E-3</v>
      </c>
    </row>
    <row r="3267" spans="1:3" x14ac:dyDescent="0.3">
      <c r="A3267" s="335">
        <v>43963</v>
      </c>
      <c r="B3267">
        <v>384.65820300000001</v>
      </c>
      <c r="C3267" s="334">
        <f t="shared" si="50"/>
        <v>-4.9657449333943933E-3</v>
      </c>
    </row>
    <row r="3268" spans="1:3" x14ac:dyDescent="0.3">
      <c r="A3268" s="335">
        <v>43964</v>
      </c>
      <c r="B3268">
        <v>391.51403800000003</v>
      </c>
      <c r="C3268" s="334">
        <f t="shared" si="50"/>
        <v>1.7823186783826401E-2</v>
      </c>
    </row>
    <row r="3269" spans="1:3" x14ac:dyDescent="0.3">
      <c r="A3269" s="335">
        <v>43965</v>
      </c>
      <c r="B3269">
        <v>384.38397200000003</v>
      </c>
      <c r="C3269" s="334">
        <f t="shared" si="50"/>
        <v>-1.8211520681156262E-2</v>
      </c>
    </row>
    <row r="3270" spans="1:3" x14ac:dyDescent="0.3">
      <c r="A3270" s="335">
        <v>43966</v>
      </c>
      <c r="B3270">
        <v>383.01281699999998</v>
      </c>
      <c r="C3270" s="334">
        <f t="shared" ref="C3270:C3333" si="51">(B3270-B3269)/B3269</f>
        <v>-3.5671492566814005E-3</v>
      </c>
    </row>
    <row r="3271" spans="1:3" x14ac:dyDescent="0.3">
      <c r="A3271" s="335">
        <v>43969</v>
      </c>
      <c r="B3271">
        <v>374.69439699999998</v>
      </c>
      <c r="C3271" s="334">
        <f t="shared" si="51"/>
        <v>-2.1718385471157755E-2</v>
      </c>
    </row>
    <row r="3272" spans="1:3" x14ac:dyDescent="0.3">
      <c r="A3272" s="335">
        <v>43970</v>
      </c>
      <c r="B3272">
        <v>409.522064</v>
      </c>
      <c r="C3272" s="334">
        <f t="shared" si="51"/>
        <v>9.2949527078196537E-2</v>
      </c>
    </row>
    <row r="3273" spans="1:3" x14ac:dyDescent="0.3">
      <c r="A3273" s="335">
        <v>43971</v>
      </c>
      <c r="B3273">
        <v>419.94293199999998</v>
      </c>
      <c r="C3273" s="334">
        <f t="shared" si="51"/>
        <v>2.5446414042296837E-2</v>
      </c>
    </row>
    <row r="3274" spans="1:3" x14ac:dyDescent="0.3">
      <c r="A3274" s="335">
        <v>43973</v>
      </c>
      <c r="B3274">
        <v>400.472351</v>
      </c>
      <c r="C3274" s="334">
        <f t="shared" si="51"/>
        <v>-4.6364826066414143E-2</v>
      </c>
    </row>
    <row r="3275" spans="1:3" x14ac:dyDescent="0.3">
      <c r="A3275" s="335">
        <v>43976</v>
      </c>
      <c r="B3275">
        <v>411.35031099999998</v>
      </c>
      <c r="C3275" s="334">
        <f t="shared" si="51"/>
        <v>2.7162824032263774E-2</v>
      </c>
    </row>
    <row r="3276" spans="1:3" x14ac:dyDescent="0.3">
      <c r="A3276" s="335">
        <v>43977</v>
      </c>
      <c r="B3276">
        <v>410.98464999999999</v>
      </c>
      <c r="C3276" s="334">
        <f t="shared" si="51"/>
        <v>-8.8892846370058713E-4</v>
      </c>
    </row>
    <row r="3277" spans="1:3" x14ac:dyDescent="0.3">
      <c r="A3277" s="335">
        <v>43978</v>
      </c>
      <c r="B3277">
        <v>403.397491</v>
      </c>
      <c r="C3277" s="334">
        <f t="shared" si="51"/>
        <v>-1.8460930353481536E-2</v>
      </c>
    </row>
    <row r="3278" spans="1:3" x14ac:dyDescent="0.3">
      <c r="A3278" s="335">
        <v>43979</v>
      </c>
      <c r="B3278">
        <v>402.02630599999998</v>
      </c>
      <c r="C3278" s="334">
        <f t="shared" si="51"/>
        <v>-3.3990915426889094E-3</v>
      </c>
    </row>
    <row r="3279" spans="1:3" x14ac:dyDescent="0.3">
      <c r="A3279" s="335">
        <v>43980</v>
      </c>
      <c r="B3279">
        <v>399.64968900000002</v>
      </c>
      <c r="C3279" s="334">
        <f t="shared" si="51"/>
        <v>-5.9115957451798028E-3</v>
      </c>
    </row>
    <row r="3280" spans="1:3" x14ac:dyDescent="0.3">
      <c r="A3280" s="335">
        <v>43984</v>
      </c>
      <c r="B3280">
        <v>420.12576300000001</v>
      </c>
      <c r="C3280" s="334">
        <f t="shared" si="51"/>
        <v>5.1235055508825837E-2</v>
      </c>
    </row>
    <row r="3281" spans="1:3" x14ac:dyDescent="0.3">
      <c r="A3281" s="335">
        <v>43985</v>
      </c>
      <c r="B3281">
        <v>414.54968300000002</v>
      </c>
      <c r="C3281" s="334">
        <f t="shared" si="51"/>
        <v>-1.3272406719794497E-2</v>
      </c>
    </row>
    <row r="3282" spans="1:3" x14ac:dyDescent="0.3">
      <c r="A3282" s="335">
        <v>43986</v>
      </c>
      <c r="B3282">
        <v>416.560699</v>
      </c>
      <c r="C3282" s="334">
        <f t="shared" si="51"/>
        <v>4.8510856055822473E-3</v>
      </c>
    </row>
    <row r="3283" spans="1:3" x14ac:dyDescent="0.3">
      <c r="A3283" s="335">
        <v>43987</v>
      </c>
      <c r="B3283">
        <v>407.693848</v>
      </c>
      <c r="C3283" s="334">
        <f t="shared" si="51"/>
        <v>-2.1285855869950892E-2</v>
      </c>
    </row>
    <row r="3284" spans="1:3" x14ac:dyDescent="0.3">
      <c r="A3284" s="335">
        <v>43990</v>
      </c>
      <c r="B3284">
        <v>412.63000499999998</v>
      </c>
      <c r="C3284" s="334">
        <f t="shared" si="51"/>
        <v>1.2107509162120052E-2</v>
      </c>
    </row>
    <row r="3285" spans="1:3" x14ac:dyDescent="0.3">
      <c r="A3285" s="335">
        <v>43991</v>
      </c>
      <c r="B3285">
        <v>424.14782700000001</v>
      </c>
      <c r="C3285" s="334">
        <f t="shared" si="51"/>
        <v>2.7913195503075507E-2</v>
      </c>
    </row>
    <row r="3286" spans="1:3" x14ac:dyDescent="0.3">
      <c r="A3286" s="335">
        <v>43992</v>
      </c>
      <c r="B3286">
        <v>424.23928799999999</v>
      </c>
      <c r="C3286" s="334">
        <f t="shared" si="51"/>
        <v>2.1563472491863348E-4</v>
      </c>
    </row>
    <row r="3287" spans="1:3" x14ac:dyDescent="0.3">
      <c r="A3287" s="335">
        <v>43993</v>
      </c>
      <c r="B3287">
        <v>419.760132</v>
      </c>
      <c r="C3287" s="334">
        <f t="shared" si="51"/>
        <v>-1.0558088622852839E-2</v>
      </c>
    </row>
    <row r="3288" spans="1:3" x14ac:dyDescent="0.3">
      <c r="A3288" s="335">
        <v>43994</v>
      </c>
      <c r="B3288">
        <v>413.544128</v>
      </c>
      <c r="C3288" s="334">
        <f t="shared" si="51"/>
        <v>-1.4808466850777524E-2</v>
      </c>
    </row>
    <row r="3289" spans="1:3" x14ac:dyDescent="0.3">
      <c r="A3289" s="335">
        <v>43997</v>
      </c>
      <c r="B3289">
        <v>397.63861100000003</v>
      </c>
      <c r="C3289" s="334">
        <f t="shared" si="51"/>
        <v>-3.8461474660329294E-2</v>
      </c>
    </row>
    <row r="3290" spans="1:3" x14ac:dyDescent="0.3">
      <c r="A3290" s="335">
        <v>43998</v>
      </c>
      <c r="B3290">
        <v>391.97109999999998</v>
      </c>
      <c r="C3290" s="334">
        <f t="shared" si="51"/>
        <v>-1.4252919216640274E-2</v>
      </c>
    </row>
    <row r="3291" spans="1:3" x14ac:dyDescent="0.3">
      <c r="A3291" s="335">
        <v>43999</v>
      </c>
      <c r="B3291">
        <v>407.236786</v>
      </c>
      <c r="C3291" s="334">
        <f t="shared" si="51"/>
        <v>3.8945947800743515E-2</v>
      </c>
    </row>
    <row r="3292" spans="1:3" x14ac:dyDescent="0.3">
      <c r="A3292" s="335">
        <v>44000</v>
      </c>
      <c r="B3292">
        <v>397.82147200000003</v>
      </c>
      <c r="C3292" s="334">
        <f t="shared" si="51"/>
        <v>-2.3119998791071805E-2</v>
      </c>
    </row>
    <row r="3293" spans="1:3" x14ac:dyDescent="0.3">
      <c r="A3293" s="335">
        <v>44001</v>
      </c>
      <c r="B3293">
        <v>399.00976600000001</v>
      </c>
      <c r="C3293" s="334">
        <f t="shared" si="51"/>
        <v>2.987003175132751E-3</v>
      </c>
    </row>
    <row r="3294" spans="1:3" x14ac:dyDescent="0.3">
      <c r="A3294" s="335">
        <v>44004</v>
      </c>
      <c r="B3294">
        <v>390.78274499999998</v>
      </c>
      <c r="C3294" s="334">
        <f t="shared" si="51"/>
        <v>-2.0618595585953744E-2</v>
      </c>
    </row>
    <row r="3295" spans="1:3" x14ac:dyDescent="0.3">
      <c r="A3295" s="335">
        <v>44005</v>
      </c>
      <c r="B3295">
        <v>396.90731799999998</v>
      </c>
      <c r="C3295" s="334">
        <f t="shared" si="51"/>
        <v>1.5672577866763279E-2</v>
      </c>
    </row>
    <row r="3296" spans="1:3" x14ac:dyDescent="0.3">
      <c r="A3296" s="335">
        <v>44006</v>
      </c>
      <c r="B3296">
        <v>389.50302099999999</v>
      </c>
      <c r="C3296" s="334">
        <f t="shared" si="51"/>
        <v>-1.865497728111928E-2</v>
      </c>
    </row>
    <row r="3297" spans="1:3" x14ac:dyDescent="0.3">
      <c r="A3297" s="335">
        <v>44007</v>
      </c>
      <c r="B3297">
        <v>395.62756300000001</v>
      </c>
      <c r="C3297" s="334">
        <f t="shared" si="51"/>
        <v>1.5723991008531921E-2</v>
      </c>
    </row>
    <row r="3298" spans="1:3" x14ac:dyDescent="0.3">
      <c r="A3298" s="335">
        <v>44008</v>
      </c>
      <c r="B3298">
        <v>405.317139</v>
      </c>
      <c r="C3298" s="334">
        <f t="shared" si="51"/>
        <v>2.4491660607580033E-2</v>
      </c>
    </row>
    <row r="3299" spans="1:3" x14ac:dyDescent="0.3">
      <c r="A3299" s="335">
        <v>44011</v>
      </c>
      <c r="B3299">
        <v>410.61901899999998</v>
      </c>
      <c r="C3299" s="334">
        <f t="shared" si="51"/>
        <v>1.308081867221505E-2</v>
      </c>
    </row>
    <row r="3300" spans="1:3" x14ac:dyDescent="0.3">
      <c r="A3300" s="335">
        <v>44012</v>
      </c>
      <c r="B3300">
        <v>419.668701</v>
      </c>
      <c r="C3300" s="334">
        <f t="shared" si="51"/>
        <v>2.2039120404211035E-2</v>
      </c>
    </row>
    <row r="3301" spans="1:3" x14ac:dyDescent="0.3">
      <c r="A3301" s="335">
        <v>44013</v>
      </c>
      <c r="B3301">
        <v>420.39996300000001</v>
      </c>
      <c r="C3301" s="334">
        <f t="shared" si="51"/>
        <v>1.7424744763131982E-3</v>
      </c>
    </row>
    <row r="3302" spans="1:3" x14ac:dyDescent="0.3">
      <c r="A3302" s="335">
        <v>44014</v>
      </c>
      <c r="B3302">
        <v>412.63000499999998</v>
      </c>
      <c r="C3302" s="334">
        <f t="shared" si="51"/>
        <v>-1.8482299438261442E-2</v>
      </c>
    </row>
    <row r="3303" spans="1:3" x14ac:dyDescent="0.3">
      <c r="A3303" s="335">
        <v>44015</v>
      </c>
      <c r="B3303">
        <v>414.64111300000002</v>
      </c>
      <c r="C3303" s="334">
        <f t="shared" si="51"/>
        <v>4.8738772644515652E-3</v>
      </c>
    </row>
    <row r="3304" spans="1:3" x14ac:dyDescent="0.3">
      <c r="A3304" s="335">
        <v>44018</v>
      </c>
      <c r="B3304">
        <v>415.829407</v>
      </c>
      <c r="C3304" s="334">
        <f t="shared" si="51"/>
        <v>2.8658373777806852E-3</v>
      </c>
    </row>
    <row r="3305" spans="1:3" x14ac:dyDescent="0.3">
      <c r="A3305" s="335">
        <v>44019</v>
      </c>
      <c r="B3305">
        <v>414.45825200000002</v>
      </c>
      <c r="C3305" s="334">
        <f t="shared" si="51"/>
        <v>-3.2973978677751079E-3</v>
      </c>
    </row>
    <row r="3306" spans="1:3" x14ac:dyDescent="0.3">
      <c r="A3306" s="335">
        <v>44020</v>
      </c>
      <c r="B3306">
        <v>406.77972399999999</v>
      </c>
      <c r="C3306" s="334">
        <f t="shared" si="51"/>
        <v>-1.8526662125670567E-2</v>
      </c>
    </row>
    <row r="3307" spans="1:3" x14ac:dyDescent="0.3">
      <c r="A3307" s="335">
        <v>44021</v>
      </c>
      <c r="B3307">
        <v>395.35330199999999</v>
      </c>
      <c r="C3307" s="334">
        <f t="shared" si="51"/>
        <v>-2.8089949734072788E-2</v>
      </c>
    </row>
    <row r="3308" spans="1:3" x14ac:dyDescent="0.3">
      <c r="A3308" s="335">
        <v>44022</v>
      </c>
      <c r="B3308">
        <v>393.98217799999998</v>
      </c>
      <c r="C3308" s="334">
        <f t="shared" si="51"/>
        <v>-3.4680980102197527E-3</v>
      </c>
    </row>
    <row r="3309" spans="1:3" x14ac:dyDescent="0.3">
      <c r="A3309" s="335">
        <v>44025</v>
      </c>
      <c r="B3309">
        <v>391.057007</v>
      </c>
      <c r="C3309" s="334">
        <f t="shared" si="51"/>
        <v>-7.4246277200893532E-3</v>
      </c>
    </row>
    <row r="3310" spans="1:3" x14ac:dyDescent="0.3">
      <c r="A3310" s="335">
        <v>44026</v>
      </c>
      <c r="B3310">
        <v>387.67477400000001</v>
      </c>
      <c r="C3310" s="334">
        <f t="shared" si="51"/>
        <v>-8.6489512768146998E-3</v>
      </c>
    </row>
    <row r="3311" spans="1:3" x14ac:dyDescent="0.3">
      <c r="A3311" s="335">
        <v>44027</v>
      </c>
      <c r="B3311">
        <v>396.26745599999998</v>
      </c>
      <c r="C3311" s="334">
        <f t="shared" si="51"/>
        <v>2.2164666303513388E-2</v>
      </c>
    </row>
    <row r="3312" spans="1:3" x14ac:dyDescent="0.3">
      <c r="A3312" s="335">
        <v>44028</v>
      </c>
      <c r="B3312">
        <v>385.57232699999997</v>
      </c>
      <c r="C3312" s="334">
        <f t="shared" si="51"/>
        <v>-2.6989672853679939E-2</v>
      </c>
    </row>
    <row r="3313" spans="1:3" x14ac:dyDescent="0.3">
      <c r="A3313" s="335">
        <v>44029</v>
      </c>
      <c r="B3313">
        <v>385.755157</v>
      </c>
      <c r="C3313" s="334">
        <f t="shared" si="51"/>
        <v>4.7417822078300772E-4</v>
      </c>
    </row>
    <row r="3314" spans="1:3" x14ac:dyDescent="0.3">
      <c r="A3314" s="335">
        <v>44032</v>
      </c>
      <c r="B3314">
        <v>388.95452899999998</v>
      </c>
      <c r="C3314" s="334">
        <f t="shared" si="51"/>
        <v>8.2937893167296852E-3</v>
      </c>
    </row>
    <row r="3315" spans="1:3" x14ac:dyDescent="0.3">
      <c r="A3315" s="335">
        <v>44033</v>
      </c>
      <c r="B3315">
        <v>384.84106400000002</v>
      </c>
      <c r="C3315" s="334">
        <f t="shared" si="51"/>
        <v>-1.0575696368867741E-2</v>
      </c>
    </row>
    <row r="3316" spans="1:3" x14ac:dyDescent="0.3">
      <c r="A3316" s="335">
        <v>44034</v>
      </c>
      <c r="B3316">
        <v>384.01834100000002</v>
      </c>
      <c r="C3316" s="334">
        <f t="shared" si="51"/>
        <v>-2.137825395888616E-3</v>
      </c>
    </row>
    <row r="3317" spans="1:3" x14ac:dyDescent="0.3">
      <c r="A3317" s="335">
        <v>44035</v>
      </c>
      <c r="B3317">
        <v>386.39505000000003</v>
      </c>
      <c r="C3317" s="334">
        <f t="shared" si="51"/>
        <v>6.1890507464069412E-3</v>
      </c>
    </row>
    <row r="3318" spans="1:3" x14ac:dyDescent="0.3">
      <c r="A3318" s="335">
        <v>44036</v>
      </c>
      <c r="B3318">
        <v>382.46432499999997</v>
      </c>
      <c r="C3318" s="334">
        <f t="shared" si="51"/>
        <v>-1.0172814066847006E-2</v>
      </c>
    </row>
    <row r="3319" spans="1:3" x14ac:dyDescent="0.3">
      <c r="A3319" s="335">
        <v>44039</v>
      </c>
      <c r="B3319">
        <v>382.55578600000001</v>
      </c>
      <c r="C3319" s="334">
        <f t="shared" si="51"/>
        <v>2.3913602922321706E-4</v>
      </c>
    </row>
    <row r="3320" spans="1:3" x14ac:dyDescent="0.3">
      <c r="A3320" s="335">
        <v>44040</v>
      </c>
      <c r="B3320">
        <v>390.417145</v>
      </c>
      <c r="C3320" s="334">
        <f t="shared" si="51"/>
        <v>2.0549575480737842E-2</v>
      </c>
    </row>
    <row r="3321" spans="1:3" x14ac:dyDescent="0.3">
      <c r="A3321" s="335">
        <v>44041</v>
      </c>
      <c r="B3321">
        <v>393.98217799999998</v>
      </c>
      <c r="C3321" s="334">
        <f t="shared" si="51"/>
        <v>9.1313433481512996E-3</v>
      </c>
    </row>
    <row r="3322" spans="1:3" x14ac:dyDescent="0.3">
      <c r="A3322" s="335">
        <v>44042</v>
      </c>
      <c r="B3322">
        <v>389.41162100000003</v>
      </c>
      <c r="C3322" s="334">
        <f t="shared" si="51"/>
        <v>-1.1600923227547494E-2</v>
      </c>
    </row>
    <row r="3323" spans="1:3" x14ac:dyDescent="0.3">
      <c r="A3323" s="335">
        <v>44043</v>
      </c>
      <c r="B3323">
        <v>394.53064000000001</v>
      </c>
      <c r="C3323" s="334">
        <f t="shared" si="51"/>
        <v>1.3145521920620802E-2</v>
      </c>
    </row>
    <row r="3324" spans="1:3" x14ac:dyDescent="0.3">
      <c r="A3324" s="335">
        <v>44046</v>
      </c>
      <c r="B3324">
        <v>408.88217200000003</v>
      </c>
      <c r="C3324" s="334">
        <f t="shared" si="51"/>
        <v>3.6376216559504786E-2</v>
      </c>
    </row>
    <row r="3325" spans="1:3" x14ac:dyDescent="0.3">
      <c r="A3325" s="335">
        <v>44047</v>
      </c>
      <c r="B3325">
        <v>412.17300399999999</v>
      </c>
      <c r="C3325" s="334">
        <f t="shared" si="51"/>
        <v>8.0483626466354378E-3</v>
      </c>
    </row>
    <row r="3326" spans="1:3" x14ac:dyDescent="0.3">
      <c r="A3326" s="335">
        <v>44048</v>
      </c>
      <c r="B3326">
        <v>400.19812000000002</v>
      </c>
      <c r="C3326" s="334">
        <f t="shared" si="51"/>
        <v>-2.9053052683673516E-2</v>
      </c>
    </row>
    <row r="3327" spans="1:3" x14ac:dyDescent="0.3">
      <c r="A3327" s="335">
        <v>44049</v>
      </c>
      <c r="B3327">
        <v>405.86560100000003</v>
      </c>
      <c r="C3327" s="334">
        <f t="shared" si="51"/>
        <v>1.4161688215826723E-2</v>
      </c>
    </row>
    <row r="3328" spans="1:3" x14ac:dyDescent="0.3">
      <c r="A3328" s="335">
        <v>44050</v>
      </c>
      <c r="B3328">
        <v>409.522064</v>
      </c>
      <c r="C3328" s="334">
        <f t="shared" si="51"/>
        <v>9.0090487860782602E-3</v>
      </c>
    </row>
    <row r="3329" spans="1:3" x14ac:dyDescent="0.3">
      <c r="A3329" s="335">
        <v>44053</v>
      </c>
      <c r="B3329">
        <v>404.12881499999997</v>
      </c>
      <c r="C3329" s="334">
        <f t="shared" si="51"/>
        <v>-1.3169617644826154E-2</v>
      </c>
    </row>
    <row r="3330" spans="1:3" x14ac:dyDescent="0.3">
      <c r="A3330" s="335">
        <v>44054</v>
      </c>
      <c r="B3330">
        <v>411.807343</v>
      </c>
      <c r="C3330" s="334">
        <f t="shared" si="51"/>
        <v>1.9000199231029909E-2</v>
      </c>
    </row>
    <row r="3331" spans="1:3" x14ac:dyDescent="0.3">
      <c r="A3331" s="335">
        <v>44055</v>
      </c>
      <c r="B3331">
        <v>419.39447000000001</v>
      </c>
      <c r="C3331" s="334">
        <f t="shared" si="51"/>
        <v>1.8423972104839349E-2</v>
      </c>
    </row>
    <row r="3332" spans="1:3" x14ac:dyDescent="0.3">
      <c r="A3332" s="335">
        <v>44056</v>
      </c>
      <c r="B3332">
        <v>421.49694799999997</v>
      </c>
      <c r="C3332" s="334">
        <f t="shared" si="51"/>
        <v>5.0131276170617186E-3</v>
      </c>
    </row>
    <row r="3333" spans="1:3" x14ac:dyDescent="0.3">
      <c r="A3333" s="335">
        <v>44057</v>
      </c>
      <c r="B3333">
        <v>424.604919</v>
      </c>
      <c r="C3333" s="334">
        <f t="shared" si="51"/>
        <v>7.3736500697035197E-3</v>
      </c>
    </row>
    <row r="3334" spans="1:3" x14ac:dyDescent="0.3">
      <c r="A3334" s="335">
        <v>44060</v>
      </c>
      <c r="B3334">
        <v>429.175476</v>
      </c>
      <c r="C3334" s="334">
        <f t="shared" ref="C3334:C3397" si="52">(B3334-B3333)/B3333</f>
        <v>1.0764258244497654E-2</v>
      </c>
    </row>
    <row r="3335" spans="1:3" x14ac:dyDescent="0.3">
      <c r="A3335" s="335">
        <v>44061</v>
      </c>
      <c r="B3335">
        <v>424.23928799999999</v>
      </c>
      <c r="C3335" s="334">
        <f t="shared" si="52"/>
        <v>-1.1501561193585105E-2</v>
      </c>
    </row>
    <row r="3336" spans="1:3" x14ac:dyDescent="0.3">
      <c r="A3336" s="335">
        <v>44062</v>
      </c>
      <c r="B3336">
        <v>426.34170499999999</v>
      </c>
      <c r="C3336" s="334">
        <f t="shared" si="52"/>
        <v>4.9557338499021872E-3</v>
      </c>
    </row>
    <row r="3337" spans="1:3" x14ac:dyDescent="0.3">
      <c r="A3337" s="335">
        <v>44063</v>
      </c>
      <c r="B3337">
        <v>423.41656499999999</v>
      </c>
      <c r="C3337" s="334">
        <f t="shared" si="52"/>
        <v>-6.8610224280075977E-3</v>
      </c>
    </row>
    <row r="3338" spans="1:3" x14ac:dyDescent="0.3">
      <c r="A3338" s="335">
        <v>44064</v>
      </c>
      <c r="B3338">
        <v>417.01779199999999</v>
      </c>
      <c r="C3338" s="334">
        <f t="shared" si="52"/>
        <v>-1.5112240589831448E-2</v>
      </c>
    </row>
    <row r="3339" spans="1:3" x14ac:dyDescent="0.3">
      <c r="A3339" s="335">
        <v>44067</v>
      </c>
      <c r="B3339">
        <v>428.26135299999999</v>
      </c>
      <c r="C3339" s="334">
        <f t="shared" si="52"/>
        <v>2.6961825647957006E-2</v>
      </c>
    </row>
    <row r="3340" spans="1:3" x14ac:dyDescent="0.3">
      <c r="A3340" s="335">
        <v>44068</v>
      </c>
      <c r="B3340">
        <v>431.82641599999999</v>
      </c>
      <c r="C3340" s="334">
        <f t="shared" si="52"/>
        <v>8.3245031918628646E-3</v>
      </c>
    </row>
    <row r="3341" spans="1:3" x14ac:dyDescent="0.3">
      <c r="A3341" s="335">
        <v>44069</v>
      </c>
      <c r="B3341">
        <v>428.71838400000001</v>
      </c>
      <c r="C3341" s="334">
        <f t="shared" si="52"/>
        <v>-7.1974105447036385E-3</v>
      </c>
    </row>
    <row r="3342" spans="1:3" x14ac:dyDescent="0.3">
      <c r="A3342" s="335">
        <v>44070</v>
      </c>
      <c r="B3342">
        <v>443.34420799999998</v>
      </c>
      <c r="C3342" s="334">
        <f t="shared" si="52"/>
        <v>3.4115224692580402E-2</v>
      </c>
    </row>
    <row r="3343" spans="1:3" x14ac:dyDescent="0.3">
      <c r="A3343" s="335">
        <v>44071</v>
      </c>
      <c r="B3343">
        <v>436.03131100000002</v>
      </c>
      <c r="C3343" s="334">
        <f t="shared" si="52"/>
        <v>-1.6494851783425045E-2</v>
      </c>
    </row>
    <row r="3344" spans="1:3" x14ac:dyDescent="0.3">
      <c r="A3344" s="335">
        <v>44074</v>
      </c>
      <c r="B3344">
        <v>432.831909</v>
      </c>
      <c r="C3344" s="334">
        <f t="shared" si="52"/>
        <v>-7.3375510411453461E-3</v>
      </c>
    </row>
    <row r="3345" spans="1:3" x14ac:dyDescent="0.3">
      <c r="A3345" s="335">
        <v>44075</v>
      </c>
      <c r="B3345">
        <v>430.363831</v>
      </c>
      <c r="C3345" s="334">
        <f t="shared" si="52"/>
        <v>-5.7021627765433333E-3</v>
      </c>
    </row>
    <row r="3346" spans="1:3" x14ac:dyDescent="0.3">
      <c r="A3346" s="335">
        <v>44076</v>
      </c>
      <c r="B3346">
        <v>430.180969</v>
      </c>
      <c r="C3346" s="334">
        <f t="shared" si="52"/>
        <v>-4.2490094851860375E-4</v>
      </c>
    </row>
    <row r="3347" spans="1:3" x14ac:dyDescent="0.3">
      <c r="A3347" s="335">
        <v>44077</v>
      </c>
      <c r="B3347">
        <v>427.987122</v>
      </c>
      <c r="C3347" s="334">
        <f t="shared" si="52"/>
        <v>-5.0998234652263408E-3</v>
      </c>
    </row>
    <row r="3348" spans="1:3" x14ac:dyDescent="0.3">
      <c r="A3348" s="335">
        <v>44078</v>
      </c>
      <c r="B3348">
        <v>430.63806199999999</v>
      </c>
      <c r="C3348" s="334">
        <f t="shared" si="52"/>
        <v>6.1939714158034676E-3</v>
      </c>
    </row>
    <row r="3349" spans="1:3" x14ac:dyDescent="0.3">
      <c r="A3349" s="335">
        <v>44081</v>
      </c>
      <c r="B3349">
        <v>437.95095800000001</v>
      </c>
      <c r="C3349" s="334">
        <f t="shared" si="52"/>
        <v>1.6981536573978041E-2</v>
      </c>
    </row>
    <row r="3350" spans="1:3" x14ac:dyDescent="0.3">
      <c r="A3350" s="335">
        <v>44082</v>
      </c>
      <c r="B3350">
        <v>439.32208300000002</v>
      </c>
      <c r="C3350" s="334">
        <f t="shared" si="52"/>
        <v>3.1307729209260147E-3</v>
      </c>
    </row>
    <row r="3351" spans="1:3" x14ac:dyDescent="0.3">
      <c r="A3351" s="335">
        <v>44083</v>
      </c>
      <c r="B3351">
        <v>449.46878099999998</v>
      </c>
      <c r="C3351" s="334">
        <f t="shared" si="52"/>
        <v>2.3096262156254863E-2</v>
      </c>
    </row>
    <row r="3352" spans="1:3" x14ac:dyDescent="0.3">
      <c r="A3352" s="335">
        <v>44084</v>
      </c>
      <c r="B3352">
        <v>445.17242399999998</v>
      </c>
      <c r="C3352" s="334">
        <f t="shared" si="52"/>
        <v>-9.558743969806438E-3</v>
      </c>
    </row>
    <row r="3353" spans="1:3" x14ac:dyDescent="0.3">
      <c r="A3353" s="335">
        <v>44085</v>
      </c>
      <c r="B3353">
        <v>452.485321</v>
      </c>
      <c r="C3353" s="334">
        <f t="shared" si="52"/>
        <v>1.6427111397178593E-2</v>
      </c>
    </row>
    <row r="3354" spans="1:3" x14ac:dyDescent="0.3">
      <c r="A3354" s="335">
        <v>44088</v>
      </c>
      <c r="B3354">
        <v>456.23318499999999</v>
      </c>
      <c r="C3354" s="334">
        <f t="shared" si="52"/>
        <v>8.2828410692244153E-3</v>
      </c>
    </row>
    <row r="3355" spans="1:3" x14ac:dyDescent="0.3">
      <c r="A3355" s="335">
        <v>44089</v>
      </c>
      <c r="B3355">
        <v>460.71234099999998</v>
      </c>
      <c r="C3355" s="334">
        <f t="shared" si="52"/>
        <v>9.8176900481274487E-3</v>
      </c>
    </row>
    <row r="3356" spans="1:3" x14ac:dyDescent="0.3">
      <c r="A3356" s="335">
        <v>44090</v>
      </c>
      <c r="B3356">
        <v>462.723389</v>
      </c>
      <c r="C3356" s="334">
        <f t="shared" si="52"/>
        <v>4.3650838517477804E-3</v>
      </c>
    </row>
    <row r="3357" spans="1:3" x14ac:dyDescent="0.3">
      <c r="A3357" s="335">
        <v>44091</v>
      </c>
      <c r="B3357">
        <v>457.42150900000001</v>
      </c>
      <c r="C3357" s="334">
        <f t="shared" si="52"/>
        <v>-1.1457990077955586E-2</v>
      </c>
    </row>
    <row r="3358" spans="1:3" x14ac:dyDescent="0.3">
      <c r="A3358" s="335">
        <v>44092</v>
      </c>
      <c r="B3358">
        <v>459.79818699999998</v>
      </c>
      <c r="C3358" s="334">
        <f t="shared" si="52"/>
        <v>5.1958160104796682E-3</v>
      </c>
    </row>
    <row r="3359" spans="1:3" x14ac:dyDescent="0.3">
      <c r="A3359" s="335">
        <v>44095</v>
      </c>
      <c r="B3359">
        <v>453.94793700000002</v>
      </c>
      <c r="C3359" s="334">
        <f t="shared" si="52"/>
        <v>-1.27235168937279E-2</v>
      </c>
    </row>
    <row r="3360" spans="1:3" x14ac:dyDescent="0.3">
      <c r="A3360" s="335">
        <v>44096</v>
      </c>
      <c r="B3360">
        <v>456.41598499999998</v>
      </c>
      <c r="C3360" s="334">
        <f t="shared" si="52"/>
        <v>5.4368525525427232E-3</v>
      </c>
    </row>
    <row r="3361" spans="1:3" x14ac:dyDescent="0.3">
      <c r="A3361" s="335">
        <v>44097</v>
      </c>
      <c r="B3361">
        <v>457.97000100000002</v>
      </c>
      <c r="C3361" s="334">
        <f t="shared" si="52"/>
        <v>3.4048237815335215E-3</v>
      </c>
    </row>
    <row r="3362" spans="1:3" x14ac:dyDescent="0.3">
      <c r="A3362" s="335">
        <v>44098</v>
      </c>
      <c r="B3362">
        <v>457.42150900000001</v>
      </c>
      <c r="C3362" s="334">
        <f t="shared" si="52"/>
        <v>-1.1976592327059654E-3</v>
      </c>
    </row>
    <row r="3363" spans="1:3" x14ac:dyDescent="0.3">
      <c r="A3363" s="335">
        <v>44099</v>
      </c>
      <c r="B3363">
        <v>462.17492700000003</v>
      </c>
      <c r="C3363" s="334">
        <f t="shared" si="52"/>
        <v>1.0391767563339507E-2</v>
      </c>
    </row>
    <row r="3364" spans="1:3" x14ac:dyDescent="0.3">
      <c r="A3364" s="335">
        <v>44102</v>
      </c>
      <c r="B3364">
        <v>468.573669</v>
      </c>
      <c r="C3364" s="334">
        <f t="shared" si="52"/>
        <v>1.3844848835774188E-2</v>
      </c>
    </row>
    <row r="3365" spans="1:3" x14ac:dyDescent="0.3">
      <c r="A3365" s="335">
        <v>44103</v>
      </c>
      <c r="B3365">
        <v>470.950378</v>
      </c>
      <c r="C3365" s="334">
        <f t="shared" si="52"/>
        <v>5.0722205647454029E-3</v>
      </c>
    </row>
    <row r="3366" spans="1:3" x14ac:dyDescent="0.3">
      <c r="A3366" s="335">
        <v>44104</v>
      </c>
      <c r="B3366">
        <v>483.56512500000002</v>
      </c>
      <c r="C3366" s="334">
        <f t="shared" si="52"/>
        <v>2.6785724333785378E-2</v>
      </c>
    </row>
    <row r="3367" spans="1:3" x14ac:dyDescent="0.3">
      <c r="A3367" s="335">
        <v>44105</v>
      </c>
      <c r="B3367">
        <v>483.74795499999999</v>
      </c>
      <c r="C3367" s="334">
        <f t="shared" si="52"/>
        <v>3.7808764641570703E-4</v>
      </c>
    </row>
    <row r="3368" spans="1:3" x14ac:dyDescent="0.3">
      <c r="A3368" s="335">
        <v>44106</v>
      </c>
      <c r="B3368">
        <v>493.07189899999997</v>
      </c>
      <c r="C3368" s="334">
        <f t="shared" si="52"/>
        <v>1.9274384322720255E-2</v>
      </c>
    </row>
    <row r="3369" spans="1:3" x14ac:dyDescent="0.3">
      <c r="A3369" s="335">
        <v>44109</v>
      </c>
      <c r="B3369">
        <v>491.24371300000001</v>
      </c>
      <c r="C3369" s="334">
        <f t="shared" si="52"/>
        <v>-3.7077472954911992E-3</v>
      </c>
    </row>
    <row r="3370" spans="1:3" x14ac:dyDescent="0.3">
      <c r="A3370" s="335">
        <v>44110</v>
      </c>
      <c r="B3370">
        <v>484.84487899999999</v>
      </c>
      <c r="C3370" s="334">
        <f t="shared" si="52"/>
        <v>-1.3025782988493986E-2</v>
      </c>
    </row>
    <row r="3371" spans="1:3" x14ac:dyDescent="0.3">
      <c r="A3371" s="335">
        <v>44111</v>
      </c>
      <c r="B3371">
        <v>477.89761399999998</v>
      </c>
      <c r="C3371" s="334">
        <f t="shared" si="52"/>
        <v>-1.4328840626983329E-2</v>
      </c>
    </row>
    <row r="3372" spans="1:3" x14ac:dyDescent="0.3">
      <c r="A3372" s="335">
        <v>44112</v>
      </c>
      <c r="B3372">
        <v>485.94180299999999</v>
      </c>
      <c r="C3372" s="334">
        <f t="shared" si="52"/>
        <v>1.6832452735367744E-2</v>
      </c>
    </row>
    <row r="3373" spans="1:3" x14ac:dyDescent="0.3">
      <c r="A3373" s="335">
        <v>44113</v>
      </c>
      <c r="B3373">
        <v>486.85586499999999</v>
      </c>
      <c r="C3373" s="334">
        <f t="shared" si="52"/>
        <v>1.8810112535224744E-3</v>
      </c>
    </row>
    <row r="3374" spans="1:3" x14ac:dyDescent="0.3">
      <c r="A3374" s="335">
        <v>44116</v>
      </c>
      <c r="B3374">
        <v>489.96389799999997</v>
      </c>
      <c r="C3374" s="334">
        <f t="shared" si="52"/>
        <v>6.3838873544226028E-3</v>
      </c>
    </row>
    <row r="3375" spans="1:3" x14ac:dyDescent="0.3">
      <c r="A3375" s="335">
        <v>44117</v>
      </c>
      <c r="B3375">
        <v>490.51232900000002</v>
      </c>
      <c r="C3375" s="334">
        <f t="shared" si="52"/>
        <v>1.1193294082251966E-3</v>
      </c>
    </row>
    <row r="3376" spans="1:3" x14ac:dyDescent="0.3">
      <c r="A3376" s="335">
        <v>44118</v>
      </c>
      <c r="B3376">
        <v>487.76998900000001</v>
      </c>
      <c r="C3376" s="334">
        <f t="shared" si="52"/>
        <v>-5.5907667103715407E-3</v>
      </c>
    </row>
    <row r="3377" spans="1:3" x14ac:dyDescent="0.3">
      <c r="A3377" s="335">
        <v>44119</v>
      </c>
      <c r="B3377">
        <v>470.219086</v>
      </c>
      <c r="C3377" s="334">
        <f t="shared" si="52"/>
        <v>-3.5981924669006245E-2</v>
      </c>
    </row>
    <row r="3378" spans="1:3" x14ac:dyDescent="0.3">
      <c r="A3378" s="335">
        <v>44120</v>
      </c>
      <c r="B3378">
        <v>469.853455</v>
      </c>
      <c r="C3378" s="334">
        <f t="shared" si="52"/>
        <v>-7.7757583834018934E-4</v>
      </c>
    </row>
    <row r="3379" spans="1:3" x14ac:dyDescent="0.3">
      <c r="A3379" s="335">
        <v>44123</v>
      </c>
      <c r="B3379">
        <v>469.48776199999998</v>
      </c>
      <c r="C3379" s="334">
        <f t="shared" si="52"/>
        <v>-7.7831288906883014E-4</v>
      </c>
    </row>
    <row r="3380" spans="1:3" x14ac:dyDescent="0.3">
      <c r="A3380" s="335">
        <v>44124</v>
      </c>
      <c r="B3380">
        <v>462.17492700000003</v>
      </c>
      <c r="C3380" s="334">
        <f t="shared" si="52"/>
        <v>-1.5576199406876021E-2</v>
      </c>
    </row>
    <row r="3381" spans="1:3" x14ac:dyDescent="0.3">
      <c r="A3381" s="335">
        <v>44125</v>
      </c>
      <c r="B3381">
        <v>452.57672100000002</v>
      </c>
      <c r="C3381" s="334">
        <f t="shared" si="52"/>
        <v>-2.0767474476173831E-2</v>
      </c>
    </row>
    <row r="3382" spans="1:3" x14ac:dyDescent="0.3">
      <c r="A3382" s="335">
        <v>44126</v>
      </c>
      <c r="B3382">
        <v>445.08099399999998</v>
      </c>
      <c r="C3382" s="334">
        <f t="shared" si="52"/>
        <v>-1.6562334411362806E-2</v>
      </c>
    </row>
    <row r="3383" spans="1:3" x14ac:dyDescent="0.3">
      <c r="A3383" s="335">
        <v>44127</v>
      </c>
      <c r="B3383">
        <v>444.71536300000002</v>
      </c>
      <c r="C3383" s="334">
        <f t="shared" si="52"/>
        <v>-8.214931774865919E-4</v>
      </c>
    </row>
    <row r="3384" spans="1:3" x14ac:dyDescent="0.3">
      <c r="A3384" s="335">
        <v>44130</v>
      </c>
      <c r="B3384">
        <v>431.64355499999999</v>
      </c>
      <c r="C3384" s="334">
        <f t="shared" si="52"/>
        <v>-2.9393650607928361E-2</v>
      </c>
    </row>
    <row r="3385" spans="1:3" x14ac:dyDescent="0.3">
      <c r="A3385" s="335">
        <v>44131</v>
      </c>
      <c r="B3385">
        <v>437.76809700000001</v>
      </c>
      <c r="C3385" s="334">
        <f t="shared" si="52"/>
        <v>1.4188887866054248E-2</v>
      </c>
    </row>
    <row r="3386" spans="1:3" x14ac:dyDescent="0.3">
      <c r="A3386" s="335">
        <v>44132</v>
      </c>
      <c r="B3386">
        <v>433.56317100000001</v>
      </c>
      <c r="C3386" s="334">
        <f t="shared" si="52"/>
        <v>-9.6053733216653302E-3</v>
      </c>
    </row>
    <row r="3387" spans="1:3" x14ac:dyDescent="0.3">
      <c r="A3387" s="335">
        <v>44133</v>
      </c>
      <c r="B3387">
        <v>440.78466800000001</v>
      </c>
      <c r="C3387" s="334">
        <f t="shared" si="52"/>
        <v>1.665615874001438E-2</v>
      </c>
    </row>
    <row r="3388" spans="1:3" x14ac:dyDescent="0.3">
      <c r="A3388" s="335">
        <v>44134</v>
      </c>
      <c r="B3388">
        <v>441.05892899999998</v>
      </c>
      <c r="C3388" s="334">
        <f t="shared" si="52"/>
        <v>6.2221084332263394E-4</v>
      </c>
    </row>
    <row r="3389" spans="1:3" x14ac:dyDescent="0.3">
      <c r="A3389" s="335">
        <v>44137</v>
      </c>
      <c r="B3389">
        <v>436.214111</v>
      </c>
      <c r="C3389" s="334">
        <f t="shared" si="52"/>
        <v>-1.0984514044380621E-2</v>
      </c>
    </row>
    <row r="3390" spans="1:3" x14ac:dyDescent="0.3">
      <c r="A3390" s="335">
        <v>44138</v>
      </c>
      <c r="B3390">
        <v>430.2724</v>
      </c>
      <c r="C3390" s="334">
        <f t="shared" si="52"/>
        <v>-1.362108847505852E-2</v>
      </c>
    </row>
    <row r="3391" spans="1:3" x14ac:dyDescent="0.3">
      <c r="A3391" s="335">
        <v>44139</v>
      </c>
      <c r="B3391">
        <v>433.47180200000003</v>
      </c>
      <c r="C3391" s="334">
        <f t="shared" si="52"/>
        <v>7.4357593003874303E-3</v>
      </c>
    </row>
    <row r="3392" spans="1:3" x14ac:dyDescent="0.3">
      <c r="A3392" s="335">
        <v>44140</v>
      </c>
      <c r="B3392">
        <v>438.04235799999998</v>
      </c>
      <c r="C3392" s="334">
        <f t="shared" si="52"/>
        <v>1.0544067639260081E-2</v>
      </c>
    </row>
    <row r="3393" spans="1:3" x14ac:dyDescent="0.3">
      <c r="A3393" s="335">
        <v>44141</v>
      </c>
      <c r="B3393">
        <v>453.39944500000001</v>
      </c>
      <c r="C3393" s="334">
        <f t="shared" si="52"/>
        <v>3.5058452041297879E-2</v>
      </c>
    </row>
    <row r="3394" spans="1:3" x14ac:dyDescent="0.3">
      <c r="A3394" s="335">
        <v>44144</v>
      </c>
      <c r="B3394">
        <v>473.144226</v>
      </c>
      <c r="C3394" s="334">
        <f t="shared" si="52"/>
        <v>4.3548313121556617E-2</v>
      </c>
    </row>
    <row r="3395" spans="1:3" x14ac:dyDescent="0.3">
      <c r="A3395" s="335">
        <v>44145</v>
      </c>
      <c r="B3395">
        <v>464.73440599999998</v>
      </c>
      <c r="C3395" s="334">
        <f t="shared" si="52"/>
        <v>-1.7774326596136088E-2</v>
      </c>
    </row>
    <row r="3396" spans="1:3" x14ac:dyDescent="0.3">
      <c r="A3396" s="335">
        <v>44146</v>
      </c>
      <c r="B3396">
        <v>481.73687699999999</v>
      </c>
      <c r="C3396" s="334">
        <f t="shared" si="52"/>
        <v>3.6585350213988704E-2</v>
      </c>
    </row>
    <row r="3397" spans="1:3" x14ac:dyDescent="0.3">
      <c r="A3397" s="335">
        <v>44147</v>
      </c>
      <c r="B3397">
        <v>494.90011600000003</v>
      </c>
      <c r="C3397" s="334">
        <f t="shared" si="52"/>
        <v>2.7324540902854803E-2</v>
      </c>
    </row>
    <row r="3398" spans="1:3" x14ac:dyDescent="0.3">
      <c r="A3398" s="335">
        <v>44148</v>
      </c>
      <c r="B3398">
        <v>475.33810399999999</v>
      </c>
      <c r="C3398" s="334">
        <f t="shared" ref="C3398:C3461" si="53">(B3398-B3397)/B3397</f>
        <v>-3.9527192190029793E-2</v>
      </c>
    </row>
    <row r="3399" spans="1:3" x14ac:dyDescent="0.3">
      <c r="A3399" s="335">
        <v>44151</v>
      </c>
      <c r="B3399">
        <v>492.15777600000001</v>
      </c>
      <c r="C3399" s="334">
        <f t="shared" si="53"/>
        <v>3.5384649070759173E-2</v>
      </c>
    </row>
    <row r="3400" spans="1:3" x14ac:dyDescent="0.3">
      <c r="A3400" s="335">
        <v>44152</v>
      </c>
      <c r="B3400">
        <v>481.00561499999998</v>
      </c>
      <c r="C3400" s="334">
        <f t="shared" si="53"/>
        <v>-2.2659727314762644E-2</v>
      </c>
    </row>
    <row r="3401" spans="1:3" x14ac:dyDescent="0.3">
      <c r="A3401" s="335">
        <v>44153</v>
      </c>
      <c r="B3401">
        <v>469.853455</v>
      </c>
      <c r="C3401" s="334">
        <f t="shared" si="53"/>
        <v>-2.3185093171937256E-2</v>
      </c>
    </row>
    <row r="3402" spans="1:3" x14ac:dyDescent="0.3">
      <c r="A3402" s="335">
        <v>44154</v>
      </c>
      <c r="B3402">
        <v>451.66262799999998</v>
      </c>
      <c r="C3402" s="334">
        <f t="shared" si="53"/>
        <v>-3.8715958787618181E-2</v>
      </c>
    </row>
    <row r="3403" spans="1:3" x14ac:dyDescent="0.3">
      <c r="A3403" s="335">
        <v>44155</v>
      </c>
      <c r="B3403">
        <v>450.10864299999997</v>
      </c>
      <c r="C3403" s="334">
        <f t="shared" si="53"/>
        <v>-3.4405879602684587E-3</v>
      </c>
    </row>
    <row r="3404" spans="1:3" x14ac:dyDescent="0.3">
      <c r="A3404" s="335">
        <v>44158</v>
      </c>
      <c r="B3404">
        <v>447.00067100000001</v>
      </c>
      <c r="C3404" s="334">
        <f t="shared" si="53"/>
        <v>-6.904937393081699E-3</v>
      </c>
    </row>
    <row r="3405" spans="1:3" x14ac:dyDescent="0.3">
      <c r="A3405" s="335">
        <v>44159</v>
      </c>
      <c r="B3405">
        <v>437.128265</v>
      </c>
      <c r="C3405" s="334">
        <f t="shared" si="53"/>
        <v>-2.208588630955324E-2</v>
      </c>
    </row>
    <row r="3406" spans="1:3" x14ac:dyDescent="0.3">
      <c r="A3406" s="335">
        <v>44160</v>
      </c>
      <c r="B3406">
        <v>437.21963499999998</v>
      </c>
      <c r="C3406" s="334">
        <f t="shared" si="53"/>
        <v>2.0902331721785029E-4</v>
      </c>
    </row>
    <row r="3407" spans="1:3" x14ac:dyDescent="0.3">
      <c r="A3407" s="335">
        <v>44161</v>
      </c>
      <c r="B3407">
        <v>444.80679300000003</v>
      </c>
      <c r="C3407" s="334">
        <f t="shared" si="53"/>
        <v>1.7353195951503975E-2</v>
      </c>
    </row>
    <row r="3408" spans="1:3" x14ac:dyDescent="0.3">
      <c r="A3408" s="335">
        <v>44162</v>
      </c>
      <c r="B3408">
        <v>453.39944500000001</v>
      </c>
      <c r="C3408" s="334">
        <f t="shared" si="53"/>
        <v>1.9317717569119916E-2</v>
      </c>
    </row>
    <row r="3409" spans="1:3" x14ac:dyDescent="0.3">
      <c r="A3409" s="335">
        <v>44165</v>
      </c>
      <c r="B3409">
        <v>445.62948599999999</v>
      </c>
      <c r="C3409" s="334">
        <f t="shared" si="53"/>
        <v>-1.7137116257387629E-2</v>
      </c>
    </row>
    <row r="3410" spans="1:3" x14ac:dyDescent="0.3">
      <c r="A3410" s="335">
        <v>44166</v>
      </c>
      <c r="B3410">
        <v>445.62948599999999</v>
      </c>
      <c r="C3410" s="334">
        <f t="shared" si="53"/>
        <v>0</v>
      </c>
    </row>
    <row r="3411" spans="1:3" x14ac:dyDescent="0.3">
      <c r="A3411" s="335">
        <v>44167</v>
      </c>
      <c r="B3411">
        <v>440.60186800000002</v>
      </c>
      <c r="C3411" s="334">
        <f t="shared" si="53"/>
        <v>-1.1282058656235241E-2</v>
      </c>
    </row>
    <row r="3412" spans="1:3" x14ac:dyDescent="0.3">
      <c r="A3412" s="335">
        <v>44168</v>
      </c>
      <c r="B3412">
        <v>441.97302200000001</v>
      </c>
      <c r="C3412" s="334">
        <f t="shared" si="53"/>
        <v>3.1120022396273405E-3</v>
      </c>
    </row>
    <row r="3413" spans="1:3" x14ac:dyDescent="0.3">
      <c r="A3413" s="335">
        <v>44169</v>
      </c>
      <c r="B3413">
        <v>445.17242399999998</v>
      </c>
      <c r="C3413" s="334">
        <f t="shared" si="53"/>
        <v>7.2389078987720734E-3</v>
      </c>
    </row>
    <row r="3414" spans="1:3" x14ac:dyDescent="0.3">
      <c r="A3414" s="335">
        <v>44172</v>
      </c>
      <c r="B3414">
        <v>435.78060900000003</v>
      </c>
      <c r="C3414" s="334">
        <f t="shared" si="53"/>
        <v>-2.1097027788944879E-2</v>
      </c>
    </row>
    <row r="3415" spans="1:3" x14ac:dyDescent="0.3">
      <c r="A3415" s="335">
        <v>44173</v>
      </c>
      <c r="B3415">
        <v>438.78601099999997</v>
      </c>
      <c r="C3415" s="334">
        <f t="shared" si="53"/>
        <v>6.8965941529535715E-3</v>
      </c>
    </row>
    <row r="3416" spans="1:3" x14ac:dyDescent="0.3">
      <c r="A3416" s="335">
        <v>44174</v>
      </c>
      <c r="B3416">
        <v>435.68667599999998</v>
      </c>
      <c r="C3416" s="334">
        <f t="shared" si="53"/>
        <v>-7.0634316552995041E-3</v>
      </c>
    </row>
    <row r="3417" spans="1:3" x14ac:dyDescent="0.3">
      <c r="A3417" s="335">
        <v>44175</v>
      </c>
      <c r="B3417">
        <v>437.377228</v>
      </c>
      <c r="C3417" s="334">
        <f t="shared" si="53"/>
        <v>3.8802012848334734E-3</v>
      </c>
    </row>
    <row r="3418" spans="1:3" x14ac:dyDescent="0.3">
      <c r="A3418" s="335">
        <v>44176</v>
      </c>
      <c r="B3418">
        <v>430.14550800000001</v>
      </c>
      <c r="C3418" s="334">
        <f t="shared" si="53"/>
        <v>-1.6534285593853542E-2</v>
      </c>
    </row>
    <row r="3419" spans="1:3" x14ac:dyDescent="0.3">
      <c r="A3419" s="335">
        <v>44179</v>
      </c>
      <c r="B3419">
        <v>432.023865</v>
      </c>
      <c r="C3419" s="334">
        <f t="shared" si="53"/>
        <v>4.3667944104161006E-3</v>
      </c>
    </row>
    <row r="3420" spans="1:3" x14ac:dyDescent="0.3">
      <c r="A3420" s="335">
        <v>44180</v>
      </c>
      <c r="B3420">
        <v>433.43264799999997</v>
      </c>
      <c r="C3420" s="334">
        <f t="shared" si="53"/>
        <v>3.2608916176423987E-3</v>
      </c>
    </row>
    <row r="3421" spans="1:3" x14ac:dyDescent="0.3">
      <c r="A3421" s="335">
        <v>44181</v>
      </c>
      <c r="B3421">
        <v>436.71978799999999</v>
      </c>
      <c r="C3421" s="334">
        <f t="shared" si="53"/>
        <v>7.5839695398303786E-3</v>
      </c>
    </row>
    <row r="3422" spans="1:3" x14ac:dyDescent="0.3">
      <c r="A3422" s="335">
        <v>44182</v>
      </c>
      <c r="B3422">
        <v>446.48727400000001</v>
      </c>
      <c r="C3422" s="334">
        <f t="shared" si="53"/>
        <v>2.2365567735620945E-2</v>
      </c>
    </row>
    <row r="3423" spans="1:3" x14ac:dyDescent="0.3">
      <c r="A3423" s="335">
        <v>44183</v>
      </c>
      <c r="B3423">
        <v>459.541901</v>
      </c>
      <c r="C3423" s="334">
        <f t="shared" si="53"/>
        <v>2.9238519797095006E-2</v>
      </c>
    </row>
    <row r="3424" spans="1:3" x14ac:dyDescent="0.3">
      <c r="A3424" s="335">
        <v>44186</v>
      </c>
      <c r="B3424">
        <v>454.65817299999998</v>
      </c>
      <c r="C3424" s="334">
        <f t="shared" si="53"/>
        <v>-1.0627383464647372E-2</v>
      </c>
    </row>
    <row r="3425" spans="1:3" x14ac:dyDescent="0.3">
      <c r="A3425" s="335">
        <v>44187</v>
      </c>
      <c r="B3425">
        <v>455.597351</v>
      </c>
      <c r="C3425" s="334">
        <f t="shared" si="53"/>
        <v>2.0656793515950425E-3</v>
      </c>
    </row>
    <row r="3426" spans="1:3" x14ac:dyDescent="0.3">
      <c r="A3426" s="335">
        <v>44188</v>
      </c>
      <c r="B3426">
        <v>464.51959199999999</v>
      </c>
      <c r="C3426" s="334">
        <f t="shared" si="53"/>
        <v>1.9583610353344626E-2</v>
      </c>
    </row>
    <row r="3427" spans="1:3" x14ac:dyDescent="0.3">
      <c r="A3427" s="335">
        <v>44193</v>
      </c>
      <c r="B3427">
        <v>465.36483800000002</v>
      </c>
      <c r="C3427" s="334">
        <f t="shared" si="53"/>
        <v>1.8196132403389166E-3</v>
      </c>
    </row>
    <row r="3428" spans="1:3" x14ac:dyDescent="0.3">
      <c r="A3428" s="335">
        <v>44194</v>
      </c>
      <c r="B3428">
        <v>476.165436</v>
      </c>
      <c r="C3428" s="334">
        <f t="shared" si="53"/>
        <v>2.3208882833558601E-2</v>
      </c>
    </row>
    <row r="3429" spans="1:3" x14ac:dyDescent="0.3">
      <c r="A3429" s="335">
        <v>44195</v>
      </c>
      <c r="B3429">
        <v>472.97222900000003</v>
      </c>
      <c r="C3429" s="334">
        <f t="shared" si="53"/>
        <v>-6.7060873355788315E-3</v>
      </c>
    </row>
    <row r="3430" spans="1:3" x14ac:dyDescent="0.3">
      <c r="A3430" s="335">
        <v>44200</v>
      </c>
      <c r="B3430">
        <v>460.57501200000002</v>
      </c>
      <c r="C3430" s="334">
        <f t="shared" si="53"/>
        <v>-2.6211300029626076E-2</v>
      </c>
    </row>
    <row r="3431" spans="1:3" x14ac:dyDescent="0.3">
      <c r="A3431" s="335">
        <v>44201</v>
      </c>
      <c r="B3431">
        <v>463.016907</v>
      </c>
      <c r="C3431" s="334">
        <f t="shared" si="53"/>
        <v>5.3018399530541356E-3</v>
      </c>
    </row>
    <row r="3432" spans="1:3" x14ac:dyDescent="0.3">
      <c r="A3432" s="335">
        <v>44202</v>
      </c>
      <c r="B3432">
        <v>462.265533</v>
      </c>
      <c r="C3432" s="334">
        <f t="shared" si="53"/>
        <v>-1.6227787552474805E-3</v>
      </c>
    </row>
    <row r="3433" spans="1:3" x14ac:dyDescent="0.3">
      <c r="A3433" s="335">
        <v>44203</v>
      </c>
      <c r="B3433">
        <v>460.199341</v>
      </c>
      <c r="C3433" s="334">
        <f t="shared" si="53"/>
        <v>-4.4697081060551423E-3</v>
      </c>
    </row>
    <row r="3434" spans="1:3" x14ac:dyDescent="0.3">
      <c r="A3434" s="335">
        <v>44204</v>
      </c>
      <c r="B3434">
        <v>470.53036500000002</v>
      </c>
      <c r="C3434" s="334">
        <f t="shared" si="53"/>
        <v>2.2449019543467823E-2</v>
      </c>
    </row>
    <row r="3435" spans="1:3" x14ac:dyDescent="0.3">
      <c r="A3435" s="335">
        <v>44207</v>
      </c>
      <c r="B3435">
        <v>465.64657599999998</v>
      </c>
      <c r="C3435" s="334">
        <f t="shared" si="53"/>
        <v>-1.0379328016375809E-2</v>
      </c>
    </row>
    <row r="3436" spans="1:3" x14ac:dyDescent="0.3">
      <c r="A3436" s="335">
        <v>44208</v>
      </c>
      <c r="B3436">
        <v>469.779022</v>
      </c>
      <c r="C3436" s="334">
        <f t="shared" si="53"/>
        <v>8.8746405814868826E-3</v>
      </c>
    </row>
    <row r="3437" spans="1:3" x14ac:dyDescent="0.3">
      <c r="A3437" s="335">
        <v>44209</v>
      </c>
      <c r="B3437">
        <v>458.414917</v>
      </c>
      <c r="C3437" s="334">
        <f t="shared" si="53"/>
        <v>-2.4190320273603013E-2</v>
      </c>
    </row>
    <row r="3438" spans="1:3" x14ac:dyDescent="0.3">
      <c r="A3438" s="335">
        <v>44210</v>
      </c>
      <c r="B3438">
        <v>456.81826799999999</v>
      </c>
      <c r="C3438" s="334">
        <f t="shared" si="53"/>
        <v>-3.4829778455922576E-3</v>
      </c>
    </row>
    <row r="3439" spans="1:3" x14ac:dyDescent="0.3">
      <c r="A3439" s="335">
        <v>44211</v>
      </c>
      <c r="B3439">
        <v>459.82369999999997</v>
      </c>
      <c r="C3439" s="334">
        <f t="shared" si="53"/>
        <v>6.5790538831953732E-3</v>
      </c>
    </row>
    <row r="3440" spans="1:3" x14ac:dyDescent="0.3">
      <c r="A3440" s="335">
        <v>44214</v>
      </c>
      <c r="B3440">
        <v>459.91760299999999</v>
      </c>
      <c r="C3440" s="334">
        <f t="shared" si="53"/>
        <v>2.0421522422617977E-4</v>
      </c>
    </row>
    <row r="3441" spans="1:3" x14ac:dyDescent="0.3">
      <c r="A3441" s="335">
        <v>44215</v>
      </c>
      <c r="B3441">
        <v>462.547302</v>
      </c>
      <c r="C3441" s="334">
        <f t="shared" si="53"/>
        <v>5.7177611442717846E-3</v>
      </c>
    </row>
    <row r="3442" spans="1:3" x14ac:dyDescent="0.3">
      <c r="A3442" s="335">
        <v>44216</v>
      </c>
      <c r="B3442">
        <v>460.199341</v>
      </c>
      <c r="C3442" s="334">
        <f t="shared" si="53"/>
        <v>-5.0761532709145451E-3</v>
      </c>
    </row>
    <row r="3443" spans="1:3" x14ac:dyDescent="0.3">
      <c r="A3443" s="335">
        <v>44217</v>
      </c>
      <c r="B3443">
        <v>482.55187999999998</v>
      </c>
      <c r="C3443" s="334">
        <f t="shared" si="53"/>
        <v>4.8571427658780544E-2</v>
      </c>
    </row>
    <row r="3444" spans="1:3" x14ac:dyDescent="0.3">
      <c r="A3444" s="335">
        <v>44218</v>
      </c>
      <c r="B3444">
        <v>480.29785199999998</v>
      </c>
      <c r="C3444" s="334">
        <f t="shared" si="53"/>
        <v>-4.6710583740757683E-3</v>
      </c>
    </row>
    <row r="3445" spans="1:3" x14ac:dyDescent="0.3">
      <c r="A3445" s="335">
        <v>44221</v>
      </c>
      <c r="B3445">
        <v>466.21011399999998</v>
      </c>
      <c r="C3445" s="334">
        <f t="shared" si="53"/>
        <v>-2.9331253390656436E-2</v>
      </c>
    </row>
    <row r="3446" spans="1:3" x14ac:dyDescent="0.3">
      <c r="A3446" s="335">
        <v>44222</v>
      </c>
      <c r="B3446">
        <v>460.95065299999999</v>
      </c>
      <c r="C3446" s="334">
        <f t="shared" si="53"/>
        <v>-1.1281310383583801E-2</v>
      </c>
    </row>
    <row r="3447" spans="1:3" x14ac:dyDescent="0.3">
      <c r="A3447" s="335">
        <v>44223</v>
      </c>
      <c r="B3447">
        <v>479.92218000000003</v>
      </c>
      <c r="C3447" s="334">
        <f t="shared" si="53"/>
        <v>4.1157392611395296E-2</v>
      </c>
    </row>
    <row r="3448" spans="1:3" x14ac:dyDescent="0.3">
      <c r="A3448" s="335">
        <v>44224</v>
      </c>
      <c r="B3448">
        <v>484.80593900000002</v>
      </c>
      <c r="C3448" s="334">
        <f t="shared" si="53"/>
        <v>1.0176147724616514E-2</v>
      </c>
    </row>
    <row r="3449" spans="1:3" x14ac:dyDescent="0.3">
      <c r="A3449" s="335">
        <v>44225</v>
      </c>
      <c r="B3449">
        <v>485.55728099999999</v>
      </c>
      <c r="C3449" s="334">
        <f t="shared" si="53"/>
        <v>1.54977886935491E-3</v>
      </c>
    </row>
    <row r="3450" spans="1:3" x14ac:dyDescent="0.3">
      <c r="A3450" s="335">
        <v>44228</v>
      </c>
      <c r="B3450">
        <v>496.451752</v>
      </c>
      <c r="C3450" s="334">
        <f t="shared" si="53"/>
        <v>2.24370458981955E-2</v>
      </c>
    </row>
    <row r="3451" spans="1:3" x14ac:dyDescent="0.3">
      <c r="A3451" s="335">
        <v>44229</v>
      </c>
      <c r="B3451">
        <v>497.954498</v>
      </c>
      <c r="C3451" s="334">
        <f t="shared" si="53"/>
        <v>3.0269729010846593E-3</v>
      </c>
    </row>
    <row r="3452" spans="1:3" x14ac:dyDescent="0.3">
      <c r="A3452" s="335">
        <v>44230</v>
      </c>
      <c r="B3452">
        <v>503.21389799999997</v>
      </c>
      <c r="C3452" s="334">
        <f t="shared" si="53"/>
        <v>1.056200922197508E-2</v>
      </c>
    </row>
    <row r="3453" spans="1:3" x14ac:dyDescent="0.3">
      <c r="A3453" s="335">
        <v>44231</v>
      </c>
      <c r="B3453">
        <v>499.832855</v>
      </c>
      <c r="C3453" s="334">
        <f t="shared" si="53"/>
        <v>-6.7188982924314567E-3</v>
      </c>
    </row>
    <row r="3454" spans="1:3" x14ac:dyDescent="0.3">
      <c r="A3454" s="335">
        <v>44232</v>
      </c>
      <c r="B3454">
        <v>506.03146400000003</v>
      </c>
      <c r="C3454" s="334">
        <f t="shared" si="53"/>
        <v>1.2401363651855245E-2</v>
      </c>
    </row>
    <row r="3455" spans="1:3" x14ac:dyDescent="0.3">
      <c r="A3455" s="335">
        <v>44235</v>
      </c>
      <c r="B3455">
        <v>498.70581099999998</v>
      </c>
      <c r="C3455" s="334">
        <f t="shared" si="53"/>
        <v>-1.447667491284701E-2</v>
      </c>
    </row>
    <row r="3456" spans="1:3" x14ac:dyDescent="0.3">
      <c r="A3456" s="335">
        <v>44236</v>
      </c>
      <c r="B3456">
        <v>496.26397700000001</v>
      </c>
      <c r="C3456" s="334">
        <f t="shared" si="53"/>
        <v>-4.8963415828334345E-3</v>
      </c>
    </row>
    <row r="3457" spans="1:3" x14ac:dyDescent="0.3">
      <c r="A3457" s="335">
        <v>44237</v>
      </c>
      <c r="B3457">
        <v>498.89364599999999</v>
      </c>
      <c r="C3457" s="334">
        <f t="shared" si="53"/>
        <v>5.2989318626283817E-3</v>
      </c>
    </row>
    <row r="3458" spans="1:3" x14ac:dyDescent="0.3">
      <c r="A3458" s="335">
        <v>44238</v>
      </c>
      <c r="B3458">
        <v>510.72732500000001</v>
      </c>
      <c r="C3458" s="334">
        <f t="shared" si="53"/>
        <v>2.3719843086556405E-2</v>
      </c>
    </row>
    <row r="3459" spans="1:3" x14ac:dyDescent="0.3">
      <c r="A3459" s="335">
        <v>44239</v>
      </c>
      <c r="B3459">
        <v>514.29626499999995</v>
      </c>
      <c r="C3459" s="334">
        <f t="shared" si="53"/>
        <v>6.9879558529591908E-3</v>
      </c>
    </row>
    <row r="3460" spans="1:3" x14ac:dyDescent="0.3">
      <c r="A3460" s="335">
        <v>44242</v>
      </c>
      <c r="B3460">
        <v>506.78274499999998</v>
      </c>
      <c r="C3460" s="334">
        <f t="shared" si="53"/>
        <v>-1.4609322507912774E-2</v>
      </c>
    </row>
    <row r="3461" spans="1:3" x14ac:dyDescent="0.3">
      <c r="A3461" s="335">
        <v>44243</v>
      </c>
      <c r="B3461">
        <v>511.47869900000001</v>
      </c>
      <c r="C3461" s="334">
        <f t="shared" si="53"/>
        <v>9.2662073567639502E-3</v>
      </c>
    </row>
    <row r="3462" spans="1:3" x14ac:dyDescent="0.3">
      <c r="A3462" s="335">
        <v>44244</v>
      </c>
      <c r="B3462">
        <v>504.34088100000002</v>
      </c>
      <c r="C3462" s="334">
        <f t="shared" ref="C3462:C3525" si="54">(B3462-B3461)/B3461</f>
        <v>-1.3955259552265306E-2</v>
      </c>
    </row>
    <row r="3463" spans="1:3" x14ac:dyDescent="0.3">
      <c r="A3463" s="335">
        <v>44245</v>
      </c>
      <c r="B3463">
        <v>502.83822600000002</v>
      </c>
      <c r="C3463" s="334">
        <f t="shared" si="54"/>
        <v>-2.9794431833893003E-3</v>
      </c>
    </row>
    <row r="3464" spans="1:3" x14ac:dyDescent="0.3">
      <c r="A3464" s="335">
        <v>44246</v>
      </c>
      <c r="B3464">
        <v>530.07458499999996</v>
      </c>
      <c r="C3464" s="334">
        <f t="shared" si="54"/>
        <v>5.4165251549511143E-2</v>
      </c>
    </row>
    <row r="3465" spans="1:3" x14ac:dyDescent="0.3">
      <c r="A3465" s="335">
        <v>44249</v>
      </c>
      <c r="B3465">
        <v>550.36090100000001</v>
      </c>
      <c r="C3465" s="334">
        <f t="shared" si="54"/>
        <v>3.8270682228615162E-2</v>
      </c>
    </row>
    <row r="3466" spans="1:3" x14ac:dyDescent="0.3">
      <c r="A3466" s="335">
        <v>44250</v>
      </c>
      <c r="B3466">
        <v>548.29461700000002</v>
      </c>
      <c r="C3466" s="334">
        <f t="shared" si="54"/>
        <v>-3.754416413385434E-3</v>
      </c>
    </row>
    <row r="3467" spans="1:3" x14ac:dyDescent="0.3">
      <c r="A3467" s="335">
        <v>44251</v>
      </c>
      <c r="B3467">
        <v>554.11755400000004</v>
      </c>
      <c r="C3467" s="334">
        <f t="shared" si="54"/>
        <v>1.0620087849594964E-2</v>
      </c>
    </row>
    <row r="3468" spans="1:3" x14ac:dyDescent="0.3">
      <c r="A3468" s="335">
        <v>44252</v>
      </c>
      <c r="B3468">
        <v>557.49859600000002</v>
      </c>
      <c r="C3468" s="334">
        <f t="shared" si="54"/>
        <v>6.1016691775838943E-3</v>
      </c>
    </row>
    <row r="3469" spans="1:3" x14ac:dyDescent="0.3">
      <c r="A3469" s="335">
        <v>44253</v>
      </c>
      <c r="B3469">
        <v>535.709656</v>
      </c>
      <c r="C3469" s="334">
        <f t="shared" si="54"/>
        <v>-3.9083398875501427E-2</v>
      </c>
    </row>
    <row r="3470" spans="1:3" x14ac:dyDescent="0.3">
      <c r="A3470" s="335">
        <v>44256</v>
      </c>
      <c r="B3470">
        <v>548.85815400000001</v>
      </c>
      <c r="C3470" s="334">
        <f t="shared" si="54"/>
        <v>2.4544075046502464E-2</v>
      </c>
    </row>
    <row r="3471" spans="1:3" x14ac:dyDescent="0.3">
      <c r="A3471" s="335">
        <v>44257</v>
      </c>
      <c r="B3471">
        <v>546.60412599999995</v>
      </c>
      <c r="C3471" s="334">
        <f t="shared" si="54"/>
        <v>-4.106758701812166E-3</v>
      </c>
    </row>
    <row r="3472" spans="1:3" x14ac:dyDescent="0.3">
      <c r="A3472" s="335">
        <v>44258</v>
      </c>
      <c r="B3472">
        <v>551.11218299999996</v>
      </c>
      <c r="C3472" s="334">
        <f t="shared" si="54"/>
        <v>8.2473892632124197E-3</v>
      </c>
    </row>
    <row r="3473" spans="1:3" x14ac:dyDescent="0.3">
      <c r="A3473" s="335">
        <v>44259</v>
      </c>
      <c r="B3473">
        <v>547.35540800000001</v>
      </c>
      <c r="C3473" s="334">
        <f t="shared" si="54"/>
        <v>-6.8167155724081462E-3</v>
      </c>
    </row>
    <row r="3474" spans="1:3" x14ac:dyDescent="0.3">
      <c r="A3474" s="335">
        <v>44260</v>
      </c>
      <c r="B3474">
        <v>548.85815400000001</v>
      </c>
      <c r="C3474" s="334">
        <f t="shared" si="54"/>
        <v>2.7454666164548097E-3</v>
      </c>
    </row>
    <row r="3475" spans="1:3" x14ac:dyDescent="0.3">
      <c r="A3475" s="335">
        <v>44263</v>
      </c>
      <c r="B3475">
        <v>567.26611300000002</v>
      </c>
      <c r="C3475" s="334">
        <f t="shared" si="54"/>
        <v>3.3538645396529912E-2</v>
      </c>
    </row>
    <row r="3476" spans="1:3" x14ac:dyDescent="0.3">
      <c r="A3476" s="335">
        <v>44264</v>
      </c>
      <c r="B3476">
        <v>559.75268600000004</v>
      </c>
      <c r="C3476" s="334">
        <f t="shared" si="54"/>
        <v>-1.3244977670647459E-2</v>
      </c>
    </row>
    <row r="3477" spans="1:3" x14ac:dyDescent="0.3">
      <c r="A3477" s="335">
        <v>44265</v>
      </c>
      <c r="B3477">
        <v>555.05676300000005</v>
      </c>
      <c r="C3477" s="334">
        <f t="shared" si="54"/>
        <v>-8.3892817621959437E-3</v>
      </c>
    </row>
    <row r="3478" spans="1:3" x14ac:dyDescent="0.3">
      <c r="A3478" s="335">
        <v>44266</v>
      </c>
      <c r="B3478">
        <v>552.23919699999999</v>
      </c>
      <c r="C3478" s="334">
        <f t="shared" si="54"/>
        <v>-5.076176326131992E-3</v>
      </c>
    </row>
    <row r="3479" spans="1:3" x14ac:dyDescent="0.3">
      <c r="A3479" s="335">
        <v>44267</v>
      </c>
      <c r="B3479">
        <v>546.97979699999996</v>
      </c>
      <c r="C3479" s="334">
        <f t="shared" si="54"/>
        <v>-9.5237716347759144E-3</v>
      </c>
    </row>
    <row r="3480" spans="1:3" x14ac:dyDescent="0.3">
      <c r="A3480" s="335">
        <v>44270</v>
      </c>
      <c r="B3480">
        <v>551.29998799999998</v>
      </c>
      <c r="C3480" s="334">
        <f t="shared" si="54"/>
        <v>7.8982642936627923E-3</v>
      </c>
    </row>
    <row r="3481" spans="1:3" x14ac:dyDescent="0.3">
      <c r="A3481" s="335">
        <v>44271</v>
      </c>
      <c r="B3481">
        <v>546.04058799999996</v>
      </c>
      <c r="C3481" s="334">
        <f t="shared" si="54"/>
        <v>-9.5399965798657477E-3</v>
      </c>
    </row>
    <row r="3482" spans="1:3" x14ac:dyDescent="0.3">
      <c r="A3482" s="335">
        <v>44272</v>
      </c>
      <c r="B3482">
        <v>545.47711200000003</v>
      </c>
      <c r="C3482" s="334">
        <f t="shared" si="54"/>
        <v>-1.0319306153848096E-3</v>
      </c>
    </row>
    <row r="3483" spans="1:3" x14ac:dyDescent="0.3">
      <c r="A3483" s="335">
        <v>44273</v>
      </c>
      <c r="B3483">
        <v>543.97442599999999</v>
      </c>
      <c r="C3483" s="334">
        <f t="shared" si="54"/>
        <v>-2.7548103613191373E-3</v>
      </c>
    </row>
    <row r="3484" spans="1:3" x14ac:dyDescent="0.3">
      <c r="A3484" s="335">
        <v>44274</v>
      </c>
      <c r="B3484">
        <v>539.09063700000002</v>
      </c>
      <c r="C3484" s="334">
        <f t="shared" si="54"/>
        <v>-8.9779753726877947E-3</v>
      </c>
    </row>
    <row r="3485" spans="1:3" x14ac:dyDescent="0.3">
      <c r="A3485" s="335">
        <v>44277</v>
      </c>
      <c r="B3485">
        <v>539.278503</v>
      </c>
      <c r="C3485" s="334">
        <f t="shared" si="54"/>
        <v>3.4848685379780661E-4</v>
      </c>
    </row>
    <row r="3486" spans="1:3" x14ac:dyDescent="0.3">
      <c r="A3486" s="335">
        <v>44278</v>
      </c>
      <c r="B3486">
        <v>533.45556599999998</v>
      </c>
      <c r="C3486" s="334">
        <f t="shared" si="54"/>
        <v>-1.0797643458077958E-2</v>
      </c>
    </row>
    <row r="3487" spans="1:3" x14ac:dyDescent="0.3">
      <c r="A3487" s="335">
        <v>44279</v>
      </c>
      <c r="B3487">
        <v>539.09063700000002</v>
      </c>
      <c r="C3487" s="334">
        <f t="shared" si="54"/>
        <v>1.0563337153370407E-2</v>
      </c>
    </row>
    <row r="3488" spans="1:3" x14ac:dyDescent="0.3">
      <c r="A3488" s="335">
        <v>44280</v>
      </c>
      <c r="B3488">
        <v>534.206909</v>
      </c>
      <c r="C3488" s="334">
        <f t="shared" si="54"/>
        <v>-9.0591964779384929E-3</v>
      </c>
    </row>
    <row r="3489" spans="1:3" x14ac:dyDescent="0.3">
      <c r="A3489" s="335">
        <v>44281</v>
      </c>
      <c r="B3489">
        <v>546.41632100000004</v>
      </c>
      <c r="C3489" s="334">
        <f t="shared" si="54"/>
        <v>2.2855211705994697E-2</v>
      </c>
    </row>
    <row r="3490" spans="1:3" x14ac:dyDescent="0.3">
      <c r="A3490" s="335">
        <v>44284</v>
      </c>
      <c r="B3490">
        <v>549.42169200000001</v>
      </c>
      <c r="C3490" s="334">
        <f t="shared" si="54"/>
        <v>5.5001486677773818E-3</v>
      </c>
    </row>
    <row r="3491" spans="1:3" x14ac:dyDescent="0.3">
      <c r="A3491" s="335">
        <v>44285</v>
      </c>
      <c r="B3491">
        <v>551.67578100000003</v>
      </c>
      <c r="C3491" s="334">
        <f t="shared" si="54"/>
        <v>4.1026574538670047E-3</v>
      </c>
    </row>
    <row r="3492" spans="1:3" x14ac:dyDescent="0.3">
      <c r="A3492" s="335">
        <v>44286</v>
      </c>
      <c r="B3492">
        <v>554.11755400000004</v>
      </c>
      <c r="C3492" s="334">
        <f t="shared" si="54"/>
        <v>4.4261014967412748E-3</v>
      </c>
    </row>
    <row r="3493" spans="1:3" x14ac:dyDescent="0.3">
      <c r="A3493" s="335">
        <v>44292</v>
      </c>
      <c r="B3493">
        <v>555.99597200000005</v>
      </c>
      <c r="C3493" s="334">
        <f t="shared" si="54"/>
        <v>3.3899268962701199E-3</v>
      </c>
    </row>
    <row r="3494" spans="1:3" x14ac:dyDescent="0.3">
      <c r="A3494" s="335">
        <v>44293</v>
      </c>
      <c r="B3494">
        <v>553.74188200000003</v>
      </c>
      <c r="C3494" s="334">
        <f t="shared" si="54"/>
        <v>-4.0541480757346551E-3</v>
      </c>
    </row>
    <row r="3495" spans="1:3" x14ac:dyDescent="0.3">
      <c r="A3495" s="335">
        <v>44294</v>
      </c>
      <c r="B3495">
        <v>554.11755400000004</v>
      </c>
      <c r="C3495" s="334">
        <f t="shared" si="54"/>
        <v>6.7842439268483697E-4</v>
      </c>
    </row>
    <row r="3496" spans="1:3" x14ac:dyDescent="0.3">
      <c r="A3496" s="335">
        <v>44295</v>
      </c>
      <c r="B3496">
        <v>556.747253</v>
      </c>
      <c r="C3496" s="334">
        <f t="shared" si="54"/>
        <v>4.7457420921192461E-3</v>
      </c>
    </row>
    <row r="3497" spans="1:3" x14ac:dyDescent="0.3">
      <c r="A3497" s="335">
        <v>44298</v>
      </c>
      <c r="B3497">
        <v>545.85278300000004</v>
      </c>
      <c r="C3497" s="334">
        <f t="shared" si="54"/>
        <v>-1.9568071402769824E-2</v>
      </c>
    </row>
    <row r="3498" spans="1:3" x14ac:dyDescent="0.3">
      <c r="A3498" s="335">
        <v>44299</v>
      </c>
      <c r="B3498">
        <v>553.178406</v>
      </c>
      <c r="C3498" s="334">
        <f t="shared" si="54"/>
        <v>1.3420510489547051E-2</v>
      </c>
    </row>
    <row r="3499" spans="1:3" x14ac:dyDescent="0.3">
      <c r="A3499" s="335">
        <v>44300</v>
      </c>
      <c r="B3499">
        <v>536.46093800000006</v>
      </c>
      <c r="C3499" s="334">
        <f t="shared" si="54"/>
        <v>-3.0220753049423878E-2</v>
      </c>
    </row>
    <row r="3500" spans="1:3" x14ac:dyDescent="0.3">
      <c r="A3500" s="335">
        <v>44301</v>
      </c>
      <c r="B3500">
        <v>529.32312000000002</v>
      </c>
      <c r="C3500" s="334">
        <f t="shared" si="54"/>
        <v>-1.3305382543994354E-2</v>
      </c>
    </row>
    <row r="3501" spans="1:3" x14ac:dyDescent="0.3">
      <c r="A3501" s="335">
        <v>44302</v>
      </c>
      <c r="B3501">
        <v>532.70422399999995</v>
      </c>
      <c r="C3501" s="334">
        <f t="shared" si="54"/>
        <v>6.3875993174073642E-3</v>
      </c>
    </row>
    <row r="3502" spans="1:3" x14ac:dyDescent="0.3">
      <c r="A3502" s="335">
        <v>44305</v>
      </c>
      <c r="B3502">
        <v>532.89209000000005</v>
      </c>
      <c r="C3502" s="334">
        <f t="shared" si="54"/>
        <v>3.5266474628160475E-4</v>
      </c>
    </row>
    <row r="3503" spans="1:3" x14ac:dyDescent="0.3">
      <c r="A3503" s="335">
        <v>44306</v>
      </c>
      <c r="B3503">
        <v>535.14605700000004</v>
      </c>
      <c r="C3503" s="334">
        <f t="shared" si="54"/>
        <v>4.2296874776279539E-3</v>
      </c>
    </row>
    <row r="3504" spans="1:3" x14ac:dyDescent="0.3">
      <c r="A3504" s="335">
        <v>44307</v>
      </c>
      <c r="B3504">
        <v>533.07989499999996</v>
      </c>
      <c r="C3504" s="334">
        <f t="shared" si="54"/>
        <v>-3.8609309981332378E-3</v>
      </c>
    </row>
    <row r="3505" spans="1:3" x14ac:dyDescent="0.3">
      <c r="A3505" s="335">
        <v>44308</v>
      </c>
      <c r="B3505">
        <v>537.21227999999996</v>
      </c>
      <c r="C3505" s="334">
        <f t="shared" si="54"/>
        <v>7.7519055562956457E-3</v>
      </c>
    </row>
    <row r="3506" spans="1:3" x14ac:dyDescent="0.3">
      <c r="A3506" s="335">
        <v>44309</v>
      </c>
      <c r="B3506">
        <v>540.59332300000005</v>
      </c>
      <c r="C3506" s="334">
        <f t="shared" si="54"/>
        <v>6.2936815219489968E-3</v>
      </c>
    </row>
    <row r="3507" spans="1:3" x14ac:dyDescent="0.3">
      <c r="A3507" s="335">
        <v>44312</v>
      </c>
      <c r="B3507">
        <v>547.35540800000001</v>
      </c>
      <c r="C3507" s="334">
        <f t="shared" si="54"/>
        <v>1.2508635812358998E-2</v>
      </c>
    </row>
    <row r="3508" spans="1:3" x14ac:dyDescent="0.3">
      <c r="A3508" s="335">
        <v>44313</v>
      </c>
      <c r="B3508">
        <v>552.23919699999999</v>
      </c>
      <c r="C3508" s="334">
        <f t="shared" si="54"/>
        <v>8.9225189495158487E-3</v>
      </c>
    </row>
    <row r="3509" spans="1:3" x14ac:dyDescent="0.3">
      <c r="A3509" s="335">
        <v>44314</v>
      </c>
      <c r="B3509">
        <v>562.57025099999998</v>
      </c>
      <c r="C3509" s="334">
        <f t="shared" si="54"/>
        <v>1.8707571023793147E-2</v>
      </c>
    </row>
    <row r="3510" spans="1:3" x14ac:dyDescent="0.3">
      <c r="A3510" s="335">
        <v>44315</v>
      </c>
      <c r="B3510">
        <v>544.72570800000005</v>
      </c>
      <c r="C3510" s="334">
        <f t="shared" si="54"/>
        <v>-3.1719670509203539E-2</v>
      </c>
    </row>
    <row r="3511" spans="1:3" x14ac:dyDescent="0.3">
      <c r="A3511" s="335">
        <v>44316</v>
      </c>
      <c r="B3511">
        <v>542.65954599999998</v>
      </c>
      <c r="C3511" s="334">
        <f t="shared" si="54"/>
        <v>-3.7930319235090636E-3</v>
      </c>
    </row>
    <row r="3512" spans="1:3" x14ac:dyDescent="0.3">
      <c r="A3512" s="335">
        <v>44319</v>
      </c>
      <c r="B3512">
        <v>552.05139199999996</v>
      </c>
      <c r="C3512" s="334">
        <f t="shared" si="54"/>
        <v>1.7307068620147314E-2</v>
      </c>
    </row>
    <row r="3513" spans="1:3" x14ac:dyDescent="0.3">
      <c r="A3513" s="335">
        <v>44320</v>
      </c>
      <c r="B3513">
        <v>563.13372800000002</v>
      </c>
      <c r="C3513" s="334">
        <f t="shared" si="54"/>
        <v>2.0074826656718323E-2</v>
      </c>
    </row>
    <row r="3514" spans="1:3" x14ac:dyDescent="0.3">
      <c r="A3514" s="335">
        <v>44321</v>
      </c>
      <c r="B3514">
        <v>566.51483199999996</v>
      </c>
      <c r="C3514" s="334">
        <f t="shared" si="54"/>
        <v>6.0040871854863155E-3</v>
      </c>
    </row>
    <row r="3515" spans="1:3" x14ac:dyDescent="0.3">
      <c r="A3515" s="335">
        <v>44322</v>
      </c>
      <c r="B3515">
        <v>562.94592299999999</v>
      </c>
      <c r="C3515" s="334">
        <f t="shared" si="54"/>
        <v>-6.2997626865309722E-3</v>
      </c>
    </row>
    <row r="3516" spans="1:3" x14ac:dyDescent="0.3">
      <c r="A3516" s="335">
        <v>44323</v>
      </c>
      <c r="B3516">
        <v>570.647156</v>
      </c>
      <c r="C3516" s="334">
        <f t="shared" si="54"/>
        <v>1.3680235854554723E-2</v>
      </c>
    </row>
    <row r="3517" spans="1:3" x14ac:dyDescent="0.3">
      <c r="A3517" s="335">
        <v>44326</v>
      </c>
      <c r="B3517">
        <v>568.58099400000003</v>
      </c>
      <c r="C3517" s="334">
        <f t="shared" si="54"/>
        <v>-3.6207347715230933E-3</v>
      </c>
    </row>
    <row r="3518" spans="1:3" x14ac:dyDescent="0.3">
      <c r="A3518" s="335">
        <v>44327</v>
      </c>
      <c r="B3518">
        <v>562.382385</v>
      </c>
      <c r="C3518" s="334">
        <f t="shared" si="54"/>
        <v>-1.0901892721373716E-2</v>
      </c>
    </row>
    <row r="3519" spans="1:3" x14ac:dyDescent="0.3">
      <c r="A3519" s="335">
        <v>44328</v>
      </c>
      <c r="B3519">
        <v>556.93511999999998</v>
      </c>
      <c r="C3519" s="334">
        <f t="shared" si="54"/>
        <v>-9.6860519555569229E-3</v>
      </c>
    </row>
    <row r="3520" spans="1:3" x14ac:dyDescent="0.3">
      <c r="A3520" s="335">
        <v>44330</v>
      </c>
      <c r="B3520">
        <v>541.15686000000005</v>
      </c>
      <c r="C3520" s="334">
        <f t="shared" si="54"/>
        <v>-2.8330517206384707E-2</v>
      </c>
    </row>
    <row r="3521" spans="1:3" x14ac:dyDescent="0.3">
      <c r="A3521" s="335">
        <v>44334</v>
      </c>
      <c r="B3521">
        <v>546.04058799999996</v>
      </c>
      <c r="C3521" s="334">
        <f t="shared" si="54"/>
        <v>9.0246070242921902E-3</v>
      </c>
    </row>
    <row r="3522" spans="1:3" x14ac:dyDescent="0.3">
      <c r="A3522" s="335">
        <v>44335</v>
      </c>
      <c r="B3522">
        <v>545.10150099999998</v>
      </c>
      <c r="C3522" s="334">
        <f t="shared" si="54"/>
        <v>-1.7198117148023661E-3</v>
      </c>
    </row>
    <row r="3523" spans="1:3" x14ac:dyDescent="0.3">
      <c r="A3523" s="335">
        <v>44336</v>
      </c>
      <c r="B3523">
        <v>561.25537099999997</v>
      </c>
      <c r="C3523" s="334">
        <f t="shared" si="54"/>
        <v>2.9634609279859576E-2</v>
      </c>
    </row>
    <row r="3524" spans="1:3" x14ac:dyDescent="0.3">
      <c r="A3524" s="335">
        <v>44337</v>
      </c>
      <c r="B3524">
        <v>577.59716800000001</v>
      </c>
      <c r="C3524" s="334">
        <f t="shared" si="54"/>
        <v>2.9116508891279799E-2</v>
      </c>
    </row>
    <row r="3525" spans="1:3" x14ac:dyDescent="0.3">
      <c r="A3525" s="335">
        <v>44341</v>
      </c>
      <c r="B3525">
        <v>566.32690400000001</v>
      </c>
      <c r="C3525" s="334">
        <f t="shared" si="54"/>
        <v>-1.9512325586748716E-2</v>
      </c>
    </row>
    <row r="3526" spans="1:3" x14ac:dyDescent="0.3">
      <c r="A3526" s="335">
        <v>44342</v>
      </c>
      <c r="B3526">
        <v>575.71875</v>
      </c>
      <c r="C3526" s="334">
        <f t="shared" ref="C3526:C3589" si="55">(B3526-B3525)/B3525</f>
        <v>1.6583789210197909E-2</v>
      </c>
    </row>
    <row r="3527" spans="1:3" x14ac:dyDescent="0.3">
      <c r="A3527" s="335">
        <v>44343</v>
      </c>
      <c r="B3527">
        <v>574.02825900000005</v>
      </c>
      <c r="C3527" s="334">
        <f t="shared" si="55"/>
        <v>-2.9363139553817757E-3</v>
      </c>
    </row>
    <row r="3528" spans="1:3" x14ac:dyDescent="0.3">
      <c r="A3528" s="335">
        <v>44344</v>
      </c>
      <c r="B3528">
        <v>580.03900099999998</v>
      </c>
      <c r="C3528" s="334">
        <f t="shared" si="55"/>
        <v>1.0471160445081739E-2</v>
      </c>
    </row>
    <row r="3529" spans="1:3" x14ac:dyDescent="0.3">
      <c r="A3529" s="335">
        <v>44347</v>
      </c>
      <c r="B3529">
        <v>576.84576400000003</v>
      </c>
      <c r="C3529" s="334">
        <f t="shared" si="55"/>
        <v>-5.5052108470201883E-3</v>
      </c>
    </row>
    <row r="3530" spans="1:3" x14ac:dyDescent="0.3">
      <c r="A3530" s="335">
        <v>44348</v>
      </c>
      <c r="B3530">
        <v>575.15527299999997</v>
      </c>
      <c r="C3530" s="334">
        <f t="shared" si="55"/>
        <v>-2.9305771239052825E-3</v>
      </c>
    </row>
    <row r="3531" spans="1:3" x14ac:dyDescent="0.3">
      <c r="A3531" s="335">
        <v>44349</v>
      </c>
      <c r="B3531">
        <v>591.30920400000002</v>
      </c>
      <c r="C3531" s="334">
        <f t="shared" si="55"/>
        <v>2.8086208643696219E-2</v>
      </c>
    </row>
    <row r="3532" spans="1:3" x14ac:dyDescent="0.3">
      <c r="A3532" s="335">
        <v>44350</v>
      </c>
      <c r="B3532">
        <v>604.457764</v>
      </c>
      <c r="C3532" s="334">
        <f t="shared" si="55"/>
        <v>2.2236352674801209E-2</v>
      </c>
    </row>
    <row r="3533" spans="1:3" x14ac:dyDescent="0.3">
      <c r="A3533" s="335">
        <v>44351</v>
      </c>
      <c r="B3533">
        <v>610.46850600000005</v>
      </c>
      <c r="C3533" s="334">
        <f t="shared" si="55"/>
        <v>9.9440231526251848E-3</v>
      </c>
    </row>
    <row r="3534" spans="1:3" x14ac:dyDescent="0.3">
      <c r="A3534" s="335">
        <v>44354</v>
      </c>
      <c r="B3534">
        <v>603.14294400000006</v>
      </c>
      <c r="C3534" s="334">
        <f t="shared" si="55"/>
        <v>-1.1999901596889243E-2</v>
      </c>
    </row>
    <row r="3535" spans="1:3" x14ac:dyDescent="0.3">
      <c r="A3535" s="335">
        <v>44355</v>
      </c>
      <c r="B3535">
        <v>592.62408400000004</v>
      </c>
      <c r="C3535" s="334">
        <f t="shared" si="55"/>
        <v>-1.7440078019050849E-2</v>
      </c>
    </row>
    <row r="3536" spans="1:3" x14ac:dyDescent="0.3">
      <c r="A3536" s="335">
        <v>44356</v>
      </c>
      <c r="B3536">
        <v>579.82104500000003</v>
      </c>
      <c r="C3536" s="334">
        <f t="shared" si="55"/>
        <v>-2.1603980239183144E-2</v>
      </c>
    </row>
    <row r="3537" spans="1:3" x14ac:dyDescent="0.3">
      <c r="A3537" s="335">
        <v>44357</v>
      </c>
      <c r="B3537">
        <v>586.80450399999995</v>
      </c>
      <c r="C3537" s="334">
        <f t="shared" si="55"/>
        <v>1.2044162695060378E-2</v>
      </c>
    </row>
    <row r="3538" spans="1:3" x14ac:dyDescent="0.3">
      <c r="A3538" s="335">
        <v>44358</v>
      </c>
      <c r="B3538">
        <v>583.50671399999999</v>
      </c>
      <c r="C3538" s="334">
        <f t="shared" si="55"/>
        <v>-5.6199125560903399E-3</v>
      </c>
    </row>
    <row r="3539" spans="1:3" x14ac:dyDescent="0.3">
      <c r="A3539" s="335">
        <v>44361</v>
      </c>
      <c r="B3539">
        <v>582.92480499999999</v>
      </c>
      <c r="C3539" s="334">
        <f t="shared" si="55"/>
        <v>-9.9726187555058033E-4</v>
      </c>
    </row>
    <row r="3540" spans="1:3" x14ac:dyDescent="0.3">
      <c r="A3540" s="335">
        <v>44362</v>
      </c>
      <c r="B3540">
        <v>580.01501499999995</v>
      </c>
      <c r="C3540" s="334">
        <f t="shared" si="55"/>
        <v>-4.9917072923325737E-3</v>
      </c>
    </row>
    <row r="3541" spans="1:3" x14ac:dyDescent="0.3">
      <c r="A3541" s="335">
        <v>44363</v>
      </c>
      <c r="B3541">
        <v>587.38641399999995</v>
      </c>
      <c r="C3541" s="334">
        <f t="shared" si="55"/>
        <v>1.270897961150195E-2</v>
      </c>
    </row>
    <row r="3542" spans="1:3" x14ac:dyDescent="0.3">
      <c r="A3542" s="335">
        <v>44364</v>
      </c>
      <c r="B3542">
        <v>588.35638400000005</v>
      </c>
      <c r="C3542" s="334">
        <f t="shared" si="55"/>
        <v>1.6513320309790194E-3</v>
      </c>
    </row>
    <row r="3543" spans="1:3" x14ac:dyDescent="0.3">
      <c r="A3543" s="335">
        <v>44365</v>
      </c>
      <c r="B3543">
        <v>590.68420400000002</v>
      </c>
      <c r="C3543" s="334">
        <f t="shared" si="55"/>
        <v>3.9564795476069387E-3</v>
      </c>
    </row>
    <row r="3544" spans="1:3" x14ac:dyDescent="0.3">
      <c r="A3544" s="335">
        <v>44368</v>
      </c>
      <c r="B3544">
        <v>591.84814500000005</v>
      </c>
      <c r="C3544" s="334">
        <f t="shared" si="55"/>
        <v>1.9704962349052801E-3</v>
      </c>
    </row>
    <row r="3545" spans="1:3" x14ac:dyDescent="0.3">
      <c r="A3545" s="335">
        <v>44369</v>
      </c>
      <c r="B3545">
        <v>597.66766399999995</v>
      </c>
      <c r="C3545" s="334">
        <f t="shared" si="55"/>
        <v>9.8327908081893203E-3</v>
      </c>
    </row>
    <row r="3546" spans="1:3" x14ac:dyDescent="0.3">
      <c r="A3546" s="335">
        <v>44370</v>
      </c>
      <c r="B3546">
        <v>577.10528599999998</v>
      </c>
      <c r="C3546" s="334">
        <f t="shared" si="55"/>
        <v>-3.4404367575087628E-2</v>
      </c>
    </row>
    <row r="3547" spans="1:3" x14ac:dyDescent="0.3">
      <c r="A3547" s="335">
        <v>44371</v>
      </c>
      <c r="B3547">
        <v>564.30224599999997</v>
      </c>
      <c r="C3547" s="334">
        <f t="shared" si="55"/>
        <v>-2.218492935446793E-2</v>
      </c>
    </row>
    <row r="3548" spans="1:3" x14ac:dyDescent="0.3">
      <c r="A3548" s="335">
        <v>44372</v>
      </c>
      <c r="B3548">
        <v>566.04809599999999</v>
      </c>
      <c r="C3548" s="334">
        <f t="shared" si="55"/>
        <v>3.0938207536392098E-3</v>
      </c>
    </row>
    <row r="3549" spans="1:3" x14ac:dyDescent="0.3">
      <c r="A3549" s="335">
        <v>44375</v>
      </c>
      <c r="B3549">
        <v>558.87066700000003</v>
      </c>
      <c r="C3549" s="334">
        <f t="shared" si="55"/>
        <v>-1.2679892487439727E-2</v>
      </c>
    </row>
    <row r="3550" spans="1:3" x14ac:dyDescent="0.3">
      <c r="A3550" s="335">
        <v>44376</v>
      </c>
      <c r="B3550">
        <v>552.85711700000002</v>
      </c>
      <c r="C3550" s="334">
        <f t="shared" si="55"/>
        <v>-1.0760181836489208E-2</v>
      </c>
    </row>
    <row r="3551" spans="1:3" x14ac:dyDescent="0.3">
      <c r="A3551" s="335">
        <v>44377</v>
      </c>
      <c r="B3551">
        <v>554.02105700000004</v>
      </c>
      <c r="C3551" s="334">
        <f t="shared" si="55"/>
        <v>2.1053179279231834E-3</v>
      </c>
    </row>
    <row r="3552" spans="1:3" x14ac:dyDescent="0.3">
      <c r="A3552" s="335">
        <v>44378</v>
      </c>
      <c r="B3552">
        <v>556.93084699999997</v>
      </c>
      <c r="C3552" s="334">
        <f t="shared" si="55"/>
        <v>5.2521288915557043E-3</v>
      </c>
    </row>
    <row r="3553" spans="1:3" x14ac:dyDescent="0.3">
      <c r="A3553" s="335">
        <v>44379</v>
      </c>
      <c r="B3553">
        <v>558.67669699999999</v>
      </c>
      <c r="C3553" s="334">
        <f t="shared" si="55"/>
        <v>3.134769800244192E-3</v>
      </c>
    </row>
    <row r="3554" spans="1:3" x14ac:dyDescent="0.3">
      <c r="A3554" s="335">
        <v>44382</v>
      </c>
      <c r="B3554">
        <v>570.12176499999998</v>
      </c>
      <c r="C3554" s="334">
        <f t="shared" si="55"/>
        <v>2.0486030760649379E-2</v>
      </c>
    </row>
    <row r="3555" spans="1:3" x14ac:dyDescent="0.3">
      <c r="A3555" s="335">
        <v>44383</v>
      </c>
      <c r="B3555">
        <v>570.12176499999998</v>
      </c>
      <c r="C3555" s="334">
        <f t="shared" si="55"/>
        <v>0</v>
      </c>
    </row>
    <row r="3556" spans="1:3" x14ac:dyDescent="0.3">
      <c r="A3556" s="335">
        <v>44384</v>
      </c>
      <c r="B3556">
        <v>567.40600600000005</v>
      </c>
      <c r="C3556" s="334">
        <f t="shared" si="55"/>
        <v>-4.7634718874483501E-3</v>
      </c>
    </row>
    <row r="3557" spans="1:3" x14ac:dyDescent="0.3">
      <c r="A3557" s="335">
        <v>44385</v>
      </c>
      <c r="B3557">
        <v>554.21508800000004</v>
      </c>
      <c r="C3557" s="334">
        <f t="shared" si="55"/>
        <v>-2.3247758854353772E-2</v>
      </c>
    </row>
    <row r="3558" spans="1:3" x14ac:dyDescent="0.3">
      <c r="A3558" s="335">
        <v>44386</v>
      </c>
      <c r="B3558">
        <v>553.05114700000001</v>
      </c>
      <c r="C3558" s="334">
        <f t="shared" si="55"/>
        <v>-2.1001611562044345E-3</v>
      </c>
    </row>
    <row r="3559" spans="1:3" x14ac:dyDescent="0.3">
      <c r="A3559" s="335">
        <v>44389</v>
      </c>
      <c r="B3559">
        <v>554.408997</v>
      </c>
      <c r="C3559" s="334">
        <f t="shared" si="55"/>
        <v>2.4551978734075114E-3</v>
      </c>
    </row>
    <row r="3560" spans="1:3" x14ac:dyDescent="0.3">
      <c r="A3560" s="335">
        <v>44390</v>
      </c>
      <c r="B3560">
        <v>555.37890600000003</v>
      </c>
      <c r="C3560" s="334">
        <f t="shared" si="55"/>
        <v>1.749446717582813E-3</v>
      </c>
    </row>
    <row r="3561" spans="1:3" x14ac:dyDescent="0.3">
      <c r="A3561" s="335">
        <v>44391</v>
      </c>
      <c r="B3561">
        <v>555.96093800000006</v>
      </c>
      <c r="C3561" s="334">
        <f t="shared" si="55"/>
        <v>1.0479908288054903E-3</v>
      </c>
    </row>
    <row r="3562" spans="1:3" x14ac:dyDescent="0.3">
      <c r="A3562" s="335">
        <v>44392</v>
      </c>
      <c r="B3562">
        <v>568.56994599999996</v>
      </c>
      <c r="C3562" s="334">
        <f t="shared" si="55"/>
        <v>2.2679665311306281E-2</v>
      </c>
    </row>
    <row r="3563" spans="1:3" x14ac:dyDescent="0.3">
      <c r="A3563" s="335">
        <v>44393</v>
      </c>
      <c r="B3563">
        <v>571.867615</v>
      </c>
      <c r="C3563" s="334">
        <f t="shared" si="55"/>
        <v>5.7999354753092104E-3</v>
      </c>
    </row>
    <row r="3564" spans="1:3" x14ac:dyDescent="0.3">
      <c r="A3564" s="335">
        <v>44396</v>
      </c>
      <c r="B3564">
        <v>560.03460700000005</v>
      </c>
      <c r="C3564" s="334">
        <f t="shared" si="55"/>
        <v>-2.0691865896270329E-2</v>
      </c>
    </row>
    <row r="3565" spans="1:3" x14ac:dyDescent="0.3">
      <c r="A3565" s="335">
        <v>44397</v>
      </c>
      <c r="B3565">
        <v>570.89770499999997</v>
      </c>
      <c r="C3565" s="334">
        <f t="shared" si="55"/>
        <v>1.9397190573974515E-2</v>
      </c>
    </row>
    <row r="3566" spans="1:3" x14ac:dyDescent="0.3">
      <c r="A3566" s="335">
        <v>44398</v>
      </c>
      <c r="B3566">
        <v>567.40600600000005</v>
      </c>
      <c r="C3566" s="334">
        <f t="shared" si="55"/>
        <v>-6.1161552576217242E-3</v>
      </c>
    </row>
    <row r="3567" spans="1:3" x14ac:dyDescent="0.3">
      <c r="A3567" s="335">
        <v>44399</v>
      </c>
      <c r="B3567">
        <v>571.867615</v>
      </c>
      <c r="C3567" s="334">
        <f t="shared" si="55"/>
        <v>7.8631684416818684E-3</v>
      </c>
    </row>
    <row r="3568" spans="1:3" x14ac:dyDescent="0.3">
      <c r="A3568" s="335">
        <v>44400</v>
      </c>
      <c r="B3568">
        <v>574.00146500000005</v>
      </c>
      <c r="C3568" s="334">
        <f t="shared" si="55"/>
        <v>3.7313705900272956E-3</v>
      </c>
    </row>
    <row r="3569" spans="1:3" x14ac:dyDescent="0.3">
      <c r="A3569" s="335">
        <v>44403</v>
      </c>
      <c r="B3569">
        <v>570.70379600000001</v>
      </c>
      <c r="C3569" s="334">
        <f t="shared" si="55"/>
        <v>-5.7450532813536313E-3</v>
      </c>
    </row>
    <row r="3570" spans="1:3" x14ac:dyDescent="0.3">
      <c r="A3570" s="335">
        <v>44404</v>
      </c>
      <c r="B3570">
        <v>569.92779499999995</v>
      </c>
      <c r="C3570" s="334">
        <f t="shared" si="55"/>
        <v>-1.3597263684576311E-3</v>
      </c>
    </row>
    <row r="3571" spans="1:3" x14ac:dyDescent="0.3">
      <c r="A3571" s="335">
        <v>44405</v>
      </c>
      <c r="B3571">
        <v>575.74731399999996</v>
      </c>
      <c r="C3571" s="334">
        <f t="shared" si="55"/>
        <v>1.0210975935995566E-2</v>
      </c>
    </row>
    <row r="3572" spans="1:3" x14ac:dyDescent="0.3">
      <c r="A3572" s="335">
        <v>44406</v>
      </c>
      <c r="B3572">
        <v>567.98791500000004</v>
      </c>
      <c r="C3572" s="334">
        <f t="shared" si="55"/>
        <v>-1.3477091097640653E-2</v>
      </c>
    </row>
    <row r="3573" spans="1:3" x14ac:dyDescent="0.3">
      <c r="A3573" s="335">
        <v>44407</v>
      </c>
      <c r="B3573">
        <v>568.56994599999996</v>
      </c>
      <c r="C3573" s="334">
        <f t="shared" si="55"/>
        <v>1.0247242672406425E-3</v>
      </c>
    </row>
    <row r="3574" spans="1:3" x14ac:dyDescent="0.3">
      <c r="A3574" s="335">
        <v>44410</v>
      </c>
      <c r="B3574">
        <v>571.67370600000004</v>
      </c>
      <c r="C3574" s="334">
        <f t="shared" si="55"/>
        <v>5.458888606117214E-3</v>
      </c>
    </row>
    <row r="3575" spans="1:3" x14ac:dyDescent="0.3">
      <c r="A3575" s="335">
        <v>44411</v>
      </c>
      <c r="B3575">
        <v>570.70379600000001</v>
      </c>
      <c r="C3575" s="334">
        <f t="shared" si="55"/>
        <v>-1.6966146769045681E-3</v>
      </c>
    </row>
    <row r="3576" spans="1:3" x14ac:dyDescent="0.3">
      <c r="A3576" s="335">
        <v>44412</v>
      </c>
      <c r="B3576">
        <v>577.10528599999998</v>
      </c>
      <c r="C3576" s="334">
        <f t="shared" si="55"/>
        <v>1.1216834450493067E-2</v>
      </c>
    </row>
    <row r="3577" spans="1:3" x14ac:dyDescent="0.3">
      <c r="A3577" s="335">
        <v>44413</v>
      </c>
      <c r="B3577">
        <v>574.38946499999997</v>
      </c>
      <c r="C3577" s="334">
        <f t="shared" si="55"/>
        <v>-4.7059367950409063E-3</v>
      </c>
    </row>
    <row r="3578" spans="1:3" x14ac:dyDescent="0.3">
      <c r="A3578" s="335">
        <v>44414</v>
      </c>
      <c r="B3578">
        <v>566.24206500000003</v>
      </c>
      <c r="C3578" s="334">
        <f t="shared" si="55"/>
        <v>-1.4184452355859188E-2</v>
      </c>
    </row>
    <row r="3579" spans="1:3" x14ac:dyDescent="0.3">
      <c r="A3579" s="335">
        <v>44417</v>
      </c>
      <c r="B3579">
        <v>567.60003700000004</v>
      </c>
      <c r="C3579" s="334">
        <f t="shared" si="55"/>
        <v>2.398218154280039E-3</v>
      </c>
    </row>
    <row r="3580" spans="1:3" x14ac:dyDescent="0.3">
      <c r="A3580" s="335">
        <v>44418</v>
      </c>
      <c r="B3580">
        <v>573.80749500000002</v>
      </c>
      <c r="C3580" s="334">
        <f t="shared" si="55"/>
        <v>1.0936324163770226E-2</v>
      </c>
    </row>
    <row r="3581" spans="1:3" x14ac:dyDescent="0.3">
      <c r="A3581" s="335">
        <v>44419</v>
      </c>
      <c r="B3581">
        <v>567.21203600000001</v>
      </c>
      <c r="C3581" s="334">
        <f t="shared" si="55"/>
        <v>-1.1494201552735043E-2</v>
      </c>
    </row>
    <row r="3582" spans="1:3" x14ac:dyDescent="0.3">
      <c r="A3582" s="335">
        <v>44420</v>
      </c>
      <c r="B3582">
        <v>570.70379600000001</v>
      </c>
      <c r="C3582" s="334">
        <f t="shared" si="55"/>
        <v>6.1560047713797089E-3</v>
      </c>
    </row>
    <row r="3583" spans="1:3" x14ac:dyDescent="0.3">
      <c r="A3583" s="335">
        <v>44421</v>
      </c>
      <c r="B3583">
        <v>573.41955600000006</v>
      </c>
      <c r="C3583" s="334">
        <f t="shared" si="55"/>
        <v>4.7586156234363745E-3</v>
      </c>
    </row>
    <row r="3584" spans="1:3" x14ac:dyDescent="0.3">
      <c r="A3584" s="335">
        <v>44424</v>
      </c>
      <c r="B3584">
        <v>571.285706</v>
      </c>
      <c r="C3584" s="334">
        <f t="shared" si="55"/>
        <v>-3.7212717593469238E-3</v>
      </c>
    </row>
    <row r="3585" spans="1:3" x14ac:dyDescent="0.3">
      <c r="A3585" s="335">
        <v>44425</v>
      </c>
      <c r="B3585">
        <v>576.91125499999998</v>
      </c>
      <c r="C3585" s="334">
        <f t="shared" si="55"/>
        <v>9.8471726859554552E-3</v>
      </c>
    </row>
    <row r="3586" spans="1:3" x14ac:dyDescent="0.3">
      <c r="A3586" s="335">
        <v>44426</v>
      </c>
      <c r="B3586">
        <v>554.99096699999996</v>
      </c>
      <c r="C3586" s="334">
        <f t="shared" si="55"/>
        <v>-3.7995944454229845E-2</v>
      </c>
    </row>
    <row r="3587" spans="1:3" x14ac:dyDescent="0.3">
      <c r="A3587" s="335">
        <v>44427</v>
      </c>
      <c r="B3587">
        <v>555.57293700000002</v>
      </c>
      <c r="C3587" s="334">
        <f t="shared" si="55"/>
        <v>1.0486116614580312E-3</v>
      </c>
    </row>
    <row r="3588" spans="1:3" x14ac:dyDescent="0.3">
      <c r="A3588" s="335">
        <v>44428</v>
      </c>
      <c r="B3588">
        <v>571.09173599999997</v>
      </c>
      <c r="C3588" s="334">
        <f t="shared" si="55"/>
        <v>2.793296427251989E-2</v>
      </c>
    </row>
    <row r="3589" spans="1:3" x14ac:dyDescent="0.3">
      <c r="A3589" s="335">
        <v>44431</v>
      </c>
      <c r="B3589">
        <v>562.55639599999995</v>
      </c>
      <c r="C3589" s="334">
        <f t="shared" si="55"/>
        <v>-1.4945654895626119E-2</v>
      </c>
    </row>
    <row r="3590" spans="1:3" x14ac:dyDescent="0.3">
      <c r="A3590" s="335">
        <v>44432</v>
      </c>
      <c r="B3590">
        <v>562.55639599999995</v>
      </c>
      <c r="C3590" s="334">
        <f t="shared" ref="C3590:C3653" si="56">(B3590-B3589)/B3589</f>
        <v>0</v>
      </c>
    </row>
    <row r="3591" spans="1:3" x14ac:dyDescent="0.3">
      <c r="A3591" s="335">
        <v>44433</v>
      </c>
      <c r="B3591">
        <v>575.553406</v>
      </c>
      <c r="C3591" s="334">
        <f t="shared" si="56"/>
        <v>2.3103479210998156E-2</v>
      </c>
    </row>
    <row r="3592" spans="1:3" x14ac:dyDescent="0.3">
      <c r="A3592" s="335">
        <v>44434</v>
      </c>
      <c r="B3592">
        <v>558.67669699999999</v>
      </c>
      <c r="C3592" s="334">
        <f t="shared" si="56"/>
        <v>-2.9322576886983108E-2</v>
      </c>
    </row>
    <row r="3593" spans="1:3" x14ac:dyDescent="0.3">
      <c r="A3593" s="335">
        <v>44435</v>
      </c>
      <c r="B3593">
        <v>572.44964600000003</v>
      </c>
      <c r="C3593" s="334">
        <f t="shared" si="56"/>
        <v>2.4652807382084238E-2</v>
      </c>
    </row>
    <row r="3594" spans="1:3" x14ac:dyDescent="0.3">
      <c r="A3594" s="335">
        <v>44438</v>
      </c>
      <c r="B3594">
        <v>563.91430700000001</v>
      </c>
      <c r="C3594" s="334">
        <f t="shared" si="56"/>
        <v>-1.4910200503469298E-2</v>
      </c>
    </row>
    <row r="3595" spans="1:3" x14ac:dyDescent="0.3">
      <c r="A3595" s="335">
        <v>44439</v>
      </c>
      <c r="B3595">
        <v>565.272156</v>
      </c>
      <c r="C3595" s="334">
        <f t="shared" si="56"/>
        <v>2.4078995392468158E-3</v>
      </c>
    </row>
    <row r="3596" spans="1:3" x14ac:dyDescent="0.3">
      <c r="A3596" s="335">
        <v>44440</v>
      </c>
      <c r="B3596">
        <v>567.98791500000004</v>
      </c>
      <c r="C3596" s="334">
        <f t="shared" si="56"/>
        <v>4.8043388855686861E-3</v>
      </c>
    </row>
    <row r="3597" spans="1:3" x14ac:dyDescent="0.3">
      <c r="A3597" s="335">
        <v>44441</v>
      </c>
      <c r="B3597">
        <v>576.13531499999999</v>
      </c>
      <c r="C3597" s="334">
        <f t="shared" si="56"/>
        <v>1.43443192801029E-2</v>
      </c>
    </row>
    <row r="3598" spans="1:3" x14ac:dyDescent="0.3">
      <c r="A3598" s="335">
        <v>44442</v>
      </c>
      <c r="B3598">
        <v>564.88421600000004</v>
      </c>
      <c r="C3598" s="334">
        <f t="shared" si="56"/>
        <v>-1.9528570297760613E-2</v>
      </c>
    </row>
    <row r="3599" spans="1:3" x14ac:dyDescent="0.3">
      <c r="A3599" s="335">
        <v>44445</v>
      </c>
      <c r="B3599">
        <v>568.37591599999996</v>
      </c>
      <c r="C3599" s="334">
        <f t="shared" si="56"/>
        <v>6.1812667111235467E-3</v>
      </c>
    </row>
    <row r="3600" spans="1:3" x14ac:dyDescent="0.3">
      <c r="A3600" s="335">
        <v>44446</v>
      </c>
      <c r="B3600">
        <v>562.94439699999998</v>
      </c>
      <c r="C3600" s="334">
        <f t="shared" si="56"/>
        <v>-9.5562089228284266E-3</v>
      </c>
    </row>
    <row r="3601" spans="1:3" x14ac:dyDescent="0.3">
      <c r="A3601" s="335">
        <v>44447</v>
      </c>
      <c r="B3601">
        <v>556.54284700000005</v>
      </c>
      <c r="C3601" s="334">
        <f t="shared" si="56"/>
        <v>-1.1371549364581257E-2</v>
      </c>
    </row>
    <row r="3602" spans="1:3" x14ac:dyDescent="0.3">
      <c r="A3602" s="335">
        <v>44448</v>
      </c>
      <c r="B3602">
        <v>553.43908699999997</v>
      </c>
      <c r="C3602" s="334">
        <f t="shared" si="56"/>
        <v>-5.57685722982633E-3</v>
      </c>
    </row>
    <row r="3603" spans="1:3" x14ac:dyDescent="0.3">
      <c r="A3603" s="335">
        <v>44449</v>
      </c>
      <c r="B3603">
        <v>547.42559800000004</v>
      </c>
      <c r="C3603" s="334">
        <f t="shared" si="56"/>
        <v>-1.0865674545318003E-2</v>
      </c>
    </row>
    <row r="3604" spans="1:3" x14ac:dyDescent="0.3">
      <c r="A3604" s="335">
        <v>44452</v>
      </c>
      <c r="B3604">
        <v>551.30529799999999</v>
      </c>
      <c r="C3604" s="334">
        <f t="shared" si="56"/>
        <v>7.0871731504231865E-3</v>
      </c>
    </row>
    <row r="3605" spans="1:3" x14ac:dyDescent="0.3">
      <c r="A3605" s="335">
        <v>44453</v>
      </c>
      <c r="B3605">
        <v>549.17144800000005</v>
      </c>
      <c r="C3605" s="334">
        <f t="shared" si="56"/>
        <v>-3.8705414363711384E-3</v>
      </c>
    </row>
    <row r="3606" spans="1:3" x14ac:dyDescent="0.3">
      <c r="A3606" s="335">
        <v>44454</v>
      </c>
      <c r="B3606">
        <v>550.52929700000004</v>
      </c>
      <c r="C3606" s="334">
        <f t="shared" si="56"/>
        <v>2.4725411434718056E-3</v>
      </c>
    </row>
    <row r="3607" spans="1:3" x14ac:dyDescent="0.3">
      <c r="A3607" s="335">
        <v>44455</v>
      </c>
      <c r="B3607">
        <v>562.55639599999995</v>
      </c>
      <c r="C3607" s="334">
        <f t="shared" si="56"/>
        <v>2.1846428637929339E-2</v>
      </c>
    </row>
    <row r="3608" spans="1:3" x14ac:dyDescent="0.3">
      <c r="A3608" s="335">
        <v>44456</v>
      </c>
      <c r="B3608">
        <v>570.12176499999998</v>
      </c>
      <c r="C3608" s="334">
        <f t="shared" si="56"/>
        <v>1.3448196578676946E-2</v>
      </c>
    </row>
    <row r="3609" spans="1:3" x14ac:dyDescent="0.3">
      <c r="A3609" s="335">
        <v>44459</v>
      </c>
      <c r="B3609">
        <v>554.21508800000004</v>
      </c>
      <c r="C3609" s="334">
        <f t="shared" si="56"/>
        <v>-2.7900490696053229E-2</v>
      </c>
    </row>
    <row r="3610" spans="1:3" x14ac:dyDescent="0.3">
      <c r="A3610" s="335">
        <v>44460</v>
      </c>
      <c r="B3610">
        <v>562.55639599999995</v>
      </c>
      <c r="C3610" s="334">
        <f t="shared" si="56"/>
        <v>1.5050669280948756E-2</v>
      </c>
    </row>
    <row r="3611" spans="1:3" x14ac:dyDescent="0.3">
      <c r="A3611" s="335">
        <v>44461</v>
      </c>
      <c r="B3611">
        <v>580.79095500000005</v>
      </c>
      <c r="C3611" s="334">
        <f t="shared" si="56"/>
        <v>3.2413743990211616E-2</v>
      </c>
    </row>
    <row r="3612" spans="1:3" x14ac:dyDescent="0.3">
      <c r="A3612" s="335">
        <v>44462</v>
      </c>
      <c r="B3612">
        <v>587.77441399999998</v>
      </c>
      <c r="C3612" s="334">
        <f t="shared" si="56"/>
        <v>1.2024049169291772E-2</v>
      </c>
    </row>
    <row r="3613" spans="1:3" x14ac:dyDescent="0.3">
      <c r="A3613" s="335">
        <v>44463</v>
      </c>
      <c r="B3613">
        <v>580.01501499999995</v>
      </c>
      <c r="C3613" s="334">
        <f t="shared" si="56"/>
        <v>-1.3201321485218699E-2</v>
      </c>
    </row>
    <row r="3614" spans="1:3" x14ac:dyDescent="0.3">
      <c r="A3614" s="335">
        <v>44466</v>
      </c>
      <c r="B3614">
        <v>578.851135</v>
      </c>
      <c r="C3614" s="334">
        <f t="shared" si="56"/>
        <v>-2.006637707473744E-3</v>
      </c>
    </row>
    <row r="3615" spans="1:3" x14ac:dyDescent="0.3">
      <c r="A3615" s="335">
        <v>44467</v>
      </c>
      <c r="B3615">
        <v>569.34588599999995</v>
      </c>
      <c r="C3615" s="334">
        <f t="shared" si="56"/>
        <v>-1.6420886865843407E-2</v>
      </c>
    </row>
    <row r="3616" spans="1:3" x14ac:dyDescent="0.3">
      <c r="A3616" s="335">
        <v>44468</v>
      </c>
      <c r="B3616">
        <v>565.66015600000003</v>
      </c>
      <c r="C3616" s="334">
        <f t="shared" si="56"/>
        <v>-6.4736219065257665E-3</v>
      </c>
    </row>
    <row r="3617" spans="1:3" x14ac:dyDescent="0.3">
      <c r="A3617" s="335">
        <v>44469</v>
      </c>
      <c r="B3617">
        <v>564.10821499999997</v>
      </c>
      <c r="C3617" s="334">
        <f t="shared" si="56"/>
        <v>-2.7435925679730145E-3</v>
      </c>
    </row>
    <row r="3618" spans="1:3" x14ac:dyDescent="0.3">
      <c r="A3618" s="335">
        <v>44470</v>
      </c>
      <c r="B3618">
        <v>567.60003700000004</v>
      </c>
      <c r="C3618" s="334">
        <f t="shared" si="56"/>
        <v>6.1899860827236315E-3</v>
      </c>
    </row>
    <row r="3619" spans="1:3" x14ac:dyDescent="0.3">
      <c r="A3619" s="335">
        <v>44473</v>
      </c>
      <c r="B3619">
        <v>563.52630599999998</v>
      </c>
      <c r="C3619" s="334">
        <f t="shared" si="56"/>
        <v>-7.177115458856226E-3</v>
      </c>
    </row>
    <row r="3620" spans="1:3" x14ac:dyDescent="0.3">
      <c r="A3620" s="335">
        <v>44474</v>
      </c>
      <c r="B3620">
        <v>562.55639599999995</v>
      </c>
      <c r="C3620" s="334">
        <f t="shared" si="56"/>
        <v>-1.7211441412284792E-3</v>
      </c>
    </row>
    <row r="3621" spans="1:3" x14ac:dyDescent="0.3">
      <c r="A3621" s="335">
        <v>44475</v>
      </c>
      <c r="B3621">
        <v>562.16839600000003</v>
      </c>
      <c r="C3621" s="334">
        <f t="shared" si="56"/>
        <v>-6.897086278971398E-4</v>
      </c>
    </row>
    <row r="3622" spans="1:3" x14ac:dyDescent="0.3">
      <c r="A3622" s="335">
        <v>44476</v>
      </c>
      <c r="B3622">
        <v>571.09173599999997</v>
      </c>
      <c r="C3622" s="334">
        <f t="shared" si="56"/>
        <v>1.5873073021344192E-2</v>
      </c>
    </row>
    <row r="3623" spans="1:3" x14ac:dyDescent="0.3">
      <c r="A3623" s="335">
        <v>44477</v>
      </c>
      <c r="B3623">
        <v>573.80749500000002</v>
      </c>
      <c r="C3623" s="334">
        <f t="shared" si="56"/>
        <v>4.7553813666112096E-3</v>
      </c>
    </row>
    <row r="3624" spans="1:3" x14ac:dyDescent="0.3">
      <c r="A3624" s="335">
        <v>44480</v>
      </c>
      <c r="B3624">
        <v>577.10528599999998</v>
      </c>
      <c r="C3624" s="334">
        <f t="shared" si="56"/>
        <v>5.7472079551696359E-3</v>
      </c>
    </row>
    <row r="3625" spans="1:3" x14ac:dyDescent="0.3">
      <c r="A3625" s="335">
        <v>44481</v>
      </c>
      <c r="B3625">
        <v>576.91125499999998</v>
      </c>
      <c r="C3625" s="334">
        <f t="shared" si="56"/>
        <v>-3.3621421377865427E-4</v>
      </c>
    </row>
    <row r="3626" spans="1:3" x14ac:dyDescent="0.3">
      <c r="A3626" s="335">
        <v>44482</v>
      </c>
      <c r="B3626">
        <v>585.25262499999997</v>
      </c>
      <c r="C3626" s="334">
        <f t="shared" si="56"/>
        <v>1.4458670944112512E-2</v>
      </c>
    </row>
    <row r="3627" spans="1:3" x14ac:dyDescent="0.3">
      <c r="A3627" s="335">
        <v>44483</v>
      </c>
      <c r="B3627">
        <v>590.68420400000002</v>
      </c>
      <c r="C3627" s="334">
        <f t="shared" si="56"/>
        <v>9.2807426536532945E-3</v>
      </c>
    </row>
    <row r="3628" spans="1:3" x14ac:dyDescent="0.3">
      <c r="A3628" s="335">
        <v>44484</v>
      </c>
      <c r="B3628">
        <v>589.13232400000004</v>
      </c>
      <c r="C3628" s="334">
        <f t="shared" si="56"/>
        <v>-2.6272583378579442E-3</v>
      </c>
    </row>
    <row r="3629" spans="1:3" x14ac:dyDescent="0.3">
      <c r="A3629" s="335">
        <v>44487</v>
      </c>
      <c r="B3629">
        <v>594.56390399999998</v>
      </c>
      <c r="C3629" s="334">
        <f t="shared" si="56"/>
        <v>9.2196265231577063E-3</v>
      </c>
    </row>
    <row r="3630" spans="1:3" x14ac:dyDescent="0.3">
      <c r="A3630" s="335">
        <v>44488</v>
      </c>
      <c r="B3630">
        <v>599.41351299999997</v>
      </c>
      <c r="C3630" s="334">
        <f t="shared" si="56"/>
        <v>8.156581601024988E-3</v>
      </c>
    </row>
    <row r="3631" spans="1:3" x14ac:dyDescent="0.3">
      <c r="A3631" s="335">
        <v>44489</v>
      </c>
      <c r="B3631">
        <v>623.27368200000001</v>
      </c>
      <c r="C3631" s="334">
        <f t="shared" si="56"/>
        <v>3.9805857696771751E-2</v>
      </c>
    </row>
    <row r="3632" spans="1:3" x14ac:dyDescent="0.3">
      <c r="A3632" s="335">
        <v>44490</v>
      </c>
      <c r="B3632">
        <v>623.27368200000001</v>
      </c>
      <c r="C3632" s="334">
        <f t="shared" si="56"/>
        <v>0</v>
      </c>
    </row>
    <row r="3633" spans="1:3" x14ac:dyDescent="0.3">
      <c r="A3633" s="335">
        <v>44491</v>
      </c>
      <c r="B3633">
        <v>625.60150099999998</v>
      </c>
      <c r="C3633" s="334">
        <f t="shared" si="56"/>
        <v>3.7348263968571944E-3</v>
      </c>
    </row>
    <row r="3634" spans="1:3" x14ac:dyDescent="0.3">
      <c r="A3634" s="335">
        <v>44494</v>
      </c>
      <c r="B3634">
        <v>621.72180200000003</v>
      </c>
      <c r="C3634" s="334">
        <f t="shared" si="56"/>
        <v>-6.2015500183398055E-3</v>
      </c>
    </row>
    <row r="3635" spans="1:3" x14ac:dyDescent="0.3">
      <c r="A3635" s="335">
        <v>44495</v>
      </c>
      <c r="B3635">
        <v>625.60150099999998</v>
      </c>
      <c r="C3635" s="334">
        <f t="shared" si="56"/>
        <v>6.2402492361044136E-3</v>
      </c>
    </row>
    <row r="3636" spans="1:3" x14ac:dyDescent="0.3">
      <c r="A3636" s="335">
        <v>44496</v>
      </c>
      <c r="B3636">
        <v>633.74890100000005</v>
      </c>
      <c r="C3636" s="334">
        <f t="shared" si="56"/>
        <v>1.3023306349132404E-2</v>
      </c>
    </row>
    <row r="3637" spans="1:3" x14ac:dyDescent="0.3">
      <c r="A3637" s="335">
        <v>44497</v>
      </c>
      <c r="B3637">
        <v>625.98950200000002</v>
      </c>
      <c r="C3637" s="334">
        <f t="shared" si="56"/>
        <v>-1.2243648845396625E-2</v>
      </c>
    </row>
    <row r="3638" spans="1:3" x14ac:dyDescent="0.3">
      <c r="A3638" s="335">
        <v>44498</v>
      </c>
      <c r="B3638">
        <v>623.66162099999997</v>
      </c>
      <c r="C3638" s="334">
        <f t="shared" si="56"/>
        <v>-3.7187221072599512E-3</v>
      </c>
    </row>
    <row r="3639" spans="1:3" x14ac:dyDescent="0.3">
      <c r="A3639" s="335">
        <v>44501</v>
      </c>
      <c r="B3639">
        <v>614.73834199999999</v>
      </c>
      <c r="C3639" s="334">
        <f t="shared" si="56"/>
        <v>-1.4307885397360342E-2</v>
      </c>
    </row>
    <row r="3640" spans="1:3" x14ac:dyDescent="0.3">
      <c r="A3640" s="335">
        <v>44502</v>
      </c>
      <c r="B3640">
        <v>607.36694299999999</v>
      </c>
      <c r="C3640" s="334">
        <f t="shared" si="56"/>
        <v>-1.1991116376469645E-2</v>
      </c>
    </row>
    <row r="3641" spans="1:3" x14ac:dyDescent="0.3">
      <c r="A3641" s="335">
        <v>44503</v>
      </c>
      <c r="B3641">
        <v>607.75488299999995</v>
      </c>
      <c r="C3641" s="334">
        <f t="shared" si="56"/>
        <v>6.3872425799762003E-4</v>
      </c>
    </row>
    <row r="3642" spans="1:3" x14ac:dyDescent="0.3">
      <c r="A3642" s="335">
        <v>44504</v>
      </c>
      <c r="B3642">
        <v>607.94885299999999</v>
      </c>
      <c r="C3642" s="334">
        <f t="shared" si="56"/>
        <v>3.191582748666056E-4</v>
      </c>
    </row>
    <row r="3643" spans="1:3" x14ac:dyDescent="0.3">
      <c r="A3643" s="335">
        <v>44505</v>
      </c>
      <c r="B3643">
        <v>613.76843299999996</v>
      </c>
      <c r="C3643" s="334">
        <f t="shared" si="56"/>
        <v>9.5724829009587314E-3</v>
      </c>
    </row>
    <row r="3644" spans="1:3" x14ac:dyDescent="0.3">
      <c r="A3644" s="335">
        <v>44508</v>
      </c>
      <c r="B3644">
        <v>602.71130400000004</v>
      </c>
      <c r="C3644" s="334">
        <f t="shared" si="56"/>
        <v>-1.8015147742210323E-2</v>
      </c>
    </row>
    <row r="3645" spans="1:3" x14ac:dyDescent="0.3">
      <c r="A3645" s="335">
        <v>44509</v>
      </c>
      <c r="B3645">
        <v>595.92181400000004</v>
      </c>
      <c r="C3645" s="334">
        <f t="shared" si="56"/>
        <v>-1.1264912330232321E-2</v>
      </c>
    </row>
    <row r="3646" spans="1:3" x14ac:dyDescent="0.3">
      <c r="A3646" s="335">
        <v>44510</v>
      </c>
      <c r="B3646">
        <v>604.26318400000002</v>
      </c>
      <c r="C3646" s="334">
        <f t="shared" si="56"/>
        <v>1.3997423494216949E-2</v>
      </c>
    </row>
    <row r="3647" spans="1:3" x14ac:dyDescent="0.3">
      <c r="A3647" s="335">
        <v>44511</v>
      </c>
      <c r="B3647">
        <v>603.29321300000004</v>
      </c>
      <c r="C3647" s="334">
        <f t="shared" si="56"/>
        <v>-1.6052128040949568E-3</v>
      </c>
    </row>
    <row r="3648" spans="1:3" x14ac:dyDescent="0.3">
      <c r="A3648" s="335">
        <v>44512</v>
      </c>
      <c r="B3648">
        <v>611.44061299999998</v>
      </c>
      <c r="C3648" s="334">
        <f t="shared" si="56"/>
        <v>1.3504875944957709E-2</v>
      </c>
    </row>
    <row r="3649" spans="1:3" x14ac:dyDescent="0.3">
      <c r="A3649" s="335">
        <v>44515</v>
      </c>
      <c r="B3649">
        <v>617.26019299999996</v>
      </c>
      <c r="C3649" s="334">
        <f t="shared" si="56"/>
        <v>9.5178172274924984E-3</v>
      </c>
    </row>
    <row r="3650" spans="1:3" x14ac:dyDescent="0.3">
      <c r="A3650" s="335">
        <v>44516</v>
      </c>
      <c r="B3650">
        <v>617.84210199999995</v>
      </c>
      <c r="C3650" s="334">
        <f t="shared" si="56"/>
        <v>9.427288631262766E-4</v>
      </c>
    </row>
    <row r="3651" spans="1:3" x14ac:dyDescent="0.3">
      <c r="A3651" s="335">
        <v>44517</v>
      </c>
      <c r="B3651">
        <v>599.60754399999996</v>
      </c>
      <c r="C3651" s="334">
        <f t="shared" si="56"/>
        <v>-2.9513297881405942E-2</v>
      </c>
    </row>
    <row r="3652" spans="1:3" x14ac:dyDescent="0.3">
      <c r="A3652" s="335">
        <v>44518</v>
      </c>
      <c r="B3652">
        <v>615.51428199999998</v>
      </c>
      <c r="C3652" s="334">
        <f t="shared" si="56"/>
        <v>2.6528582168739389E-2</v>
      </c>
    </row>
    <row r="3653" spans="1:3" x14ac:dyDescent="0.3">
      <c r="A3653" s="335">
        <v>44519</v>
      </c>
      <c r="B3653">
        <v>614.73834199999999</v>
      </c>
      <c r="C3653" s="334">
        <f t="shared" si="56"/>
        <v>-1.2606368734105044E-3</v>
      </c>
    </row>
    <row r="3654" spans="1:3" x14ac:dyDescent="0.3">
      <c r="A3654" s="335">
        <v>44522</v>
      </c>
      <c r="B3654">
        <v>595.92181400000004</v>
      </c>
      <c r="C3654" s="334">
        <f t="shared" ref="C3654:C3681" si="57">(B3654-B3653)/B3653</f>
        <v>-3.0609003399368163E-2</v>
      </c>
    </row>
    <row r="3655" spans="1:3" x14ac:dyDescent="0.3">
      <c r="A3655" s="335">
        <v>44523</v>
      </c>
      <c r="B3655">
        <v>582.92480499999999</v>
      </c>
      <c r="C3655" s="334">
        <f t="shared" si="57"/>
        <v>-2.1809923205798349E-2</v>
      </c>
    </row>
    <row r="3656" spans="1:3" x14ac:dyDescent="0.3">
      <c r="A3656" s="335">
        <v>44524</v>
      </c>
      <c r="B3656">
        <v>584.28271500000005</v>
      </c>
      <c r="C3656" s="334">
        <f t="shared" si="57"/>
        <v>2.3294771269856338E-3</v>
      </c>
    </row>
    <row r="3657" spans="1:3" x14ac:dyDescent="0.3">
      <c r="A3657" s="335">
        <v>44525</v>
      </c>
      <c r="B3657">
        <v>580.59698500000002</v>
      </c>
      <c r="C3657" s="334">
        <f t="shared" si="57"/>
        <v>-6.308127735731554E-3</v>
      </c>
    </row>
    <row r="3658" spans="1:3" x14ac:dyDescent="0.3">
      <c r="A3658" s="335">
        <v>44526</v>
      </c>
      <c r="B3658">
        <v>561.97448699999995</v>
      </c>
      <c r="C3658" s="334">
        <f t="shared" si="57"/>
        <v>-3.207474113907096E-2</v>
      </c>
    </row>
    <row r="3659" spans="1:3" x14ac:dyDescent="0.3">
      <c r="A3659" s="335">
        <v>44529</v>
      </c>
      <c r="B3659">
        <v>569.15185499999995</v>
      </c>
      <c r="C3659" s="334">
        <f t="shared" si="57"/>
        <v>1.2771697231870958E-2</v>
      </c>
    </row>
    <row r="3660" spans="1:3" x14ac:dyDescent="0.3">
      <c r="A3660" s="335">
        <v>44530</v>
      </c>
      <c r="B3660">
        <v>556.54284700000005</v>
      </c>
      <c r="C3660" s="334">
        <f t="shared" si="57"/>
        <v>-2.2154031282213611E-2</v>
      </c>
    </row>
    <row r="3661" spans="1:3" x14ac:dyDescent="0.3">
      <c r="A3661" s="335">
        <v>44531</v>
      </c>
      <c r="B3661">
        <v>557.900757</v>
      </c>
      <c r="C3661" s="334">
        <f t="shared" si="57"/>
        <v>2.4399019901516173E-3</v>
      </c>
    </row>
    <row r="3662" spans="1:3" x14ac:dyDescent="0.3">
      <c r="A3662" s="335">
        <v>44532</v>
      </c>
      <c r="B3662">
        <v>549.94738800000005</v>
      </c>
      <c r="C3662" s="334">
        <f t="shared" si="57"/>
        <v>-1.425588494048226E-2</v>
      </c>
    </row>
    <row r="3663" spans="1:3" x14ac:dyDescent="0.3">
      <c r="A3663" s="335">
        <v>44533</v>
      </c>
      <c r="B3663">
        <v>547.81353799999999</v>
      </c>
      <c r="C3663" s="334">
        <f t="shared" si="57"/>
        <v>-3.88009843588902E-3</v>
      </c>
    </row>
    <row r="3664" spans="1:3" x14ac:dyDescent="0.3">
      <c r="A3664" s="335">
        <v>44536</v>
      </c>
      <c r="B3664">
        <v>548.78344700000002</v>
      </c>
      <c r="C3664" s="334">
        <f t="shared" si="57"/>
        <v>1.7705093662727803E-3</v>
      </c>
    </row>
    <row r="3665" spans="1:3" x14ac:dyDescent="0.3">
      <c r="A3665" s="335">
        <v>44537</v>
      </c>
      <c r="B3665">
        <v>563.13830600000006</v>
      </c>
      <c r="C3665" s="334">
        <f t="shared" si="57"/>
        <v>2.615760201673873E-2</v>
      </c>
    </row>
    <row r="3666" spans="1:3" x14ac:dyDescent="0.3">
      <c r="A3666" s="335">
        <v>44538</v>
      </c>
      <c r="B3666">
        <v>566.63006600000006</v>
      </c>
      <c r="C3666" s="334">
        <f t="shared" si="57"/>
        <v>6.2005371731895624E-3</v>
      </c>
    </row>
    <row r="3667" spans="1:3" x14ac:dyDescent="0.3">
      <c r="A3667" s="335">
        <v>44539</v>
      </c>
      <c r="B3667">
        <v>574.58349599999997</v>
      </c>
      <c r="C3667" s="334">
        <f t="shared" si="57"/>
        <v>1.4036371306848216E-2</v>
      </c>
    </row>
    <row r="3668" spans="1:3" x14ac:dyDescent="0.3">
      <c r="A3668" s="335">
        <v>44540</v>
      </c>
      <c r="B3668">
        <v>578.46319600000004</v>
      </c>
      <c r="C3668" s="334">
        <f t="shared" si="57"/>
        <v>6.7521953328086382E-3</v>
      </c>
    </row>
    <row r="3669" spans="1:3" x14ac:dyDescent="0.3">
      <c r="A3669" s="335">
        <v>44543</v>
      </c>
      <c r="B3669">
        <v>579.23913600000003</v>
      </c>
      <c r="C3669" s="334">
        <f t="shared" si="57"/>
        <v>1.3413817946682149E-3</v>
      </c>
    </row>
    <row r="3670" spans="1:3" x14ac:dyDescent="0.3">
      <c r="A3670" s="335">
        <v>44544</v>
      </c>
      <c r="B3670">
        <v>565.66015600000003</v>
      </c>
      <c r="C3670" s="334">
        <f t="shared" si="57"/>
        <v>-2.3442787539825347E-2</v>
      </c>
    </row>
    <row r="3671" spans="1:3" x14ac:dyDescent="0.3">
      <c r="A3671" s="335">
        <v>44545</v>
      </c>
      <c r="B3671">
        <v>559.06469700000002</v>
      </c>
      <c r="C3671" s="334">
        <f t="shared" si="57"/>
        <v>-1.1659755296606051E-2</v>
      </c>
    </row>
    <row r="3672" spans="1:3" x14ac:dyDescent="0.3">
      <c r="A3672" s="335">
        <v>44546</v>
      </c>
      <c r="B3672">
        <v>568.37591599999996</v>
      </c>
      <c r="C3672" s="334">
        <f t="shared" si="57"/>
        <v>1.6654993688503171E-2</v>
      </c>
    </row>
    <row r="3673" spans="1:3" x14ac:dyDescent="0.3">
      <c r="A3673" s="335">
        <v>44547</v>
      </c>
      <c r="B3673">
        <v>574.19549600000005</v>
      </c>
      <c r="C3673" s="334">
        <f t="shared" si="57"/>
        <v>1.0238963045717947E-2</v>
      </c>
    </row>
    <row r="3674" spans="1:3" x14ac:dyDescent="0.3">
      <c r="A3674" s="335">
        <v>44550</v>
      </c>
      <c r="B3674">
        <v>559.25860599999999</v>
      </c>
      <c r="C3674" s="334">
        <f t="shared" si="57"/>
        <v>-2.6013596595679429E-2</v>
      </c>
    </row>
    <row r="3675" spans="1:3" x14ac:dyDescent="0.3">
      <c r="A3675" s="335">
        <v>44551</v>
      </c>
      <c r="B3675">
        <v>563.72033699999997</v>
      </c>
      <c r="C3675" s="334">
        <f t="shared" si="57"/>
        <v>7.9779389215156506E-3</v>
      </c>
    </row>
    <row r="3676" spans="1:3" x14ac:dyDescent="0.3">
      <c r="A3676" s="335">
        <v>44552</v>
      </c>
      <c r="B3676">
        <v>573.80749500000002</v>
      </c>
      <c r="C3676" s="334">
        <f t="shared" si="57"/>
        <v>1.7893904721766399E-2</v>
      </c>
    </row>
    <row r="3677" spans="1:3" x14ac:dyDescent="0.3">
      <c r="A3677" s="335">
        <v>44553</v>
      </c>
      <c r="B3677">
        <v>582.53680399999996</v>
      </c>
      <c r="C3677" s="334">
        <f t="shared" si="57"/>
        <v>1.5212957439672244E-2</v>
      </c>
    </row>
    <row r="3678" spans="1:3" x14ac:dyDescent="0.3">
      <c r="A3678" s="335">
        <v>44557</v>
      </c>
      <c r="B3678">
        <v>594.56390399999998</v>
      </c>
      <c r="C3678" s="334">
        <f t="shared" si="57"/>
        <v>2.0646077496590275E-2</v>
      </c>
    </row>
    <row r="3679" spans="1:3" x14ac:dyDescent="0.3">
      <c r="A3679" s="335">
        <v>44558</v>
      </c>
      <c r="B3679">
        <v>601.35339399999998</v>
      </c>
      <c r="C3679" s="334">
        <f t="shared" si="57"/>
        <v>1.1419277144681829E-2</v>
      </c>
    </row>
    <row r="3680" spans="1:3" x14ac:dyDescent="0.3">
      <c r="A3680" s="335">
        <v>44559</v>
      </c>
      <c r="B3680">
        <v>589.714294</v>
      </c>
      <c r="C3680" s="334">
        <f t="shared" si="57"/>
        <v>-1.9354842121336702E-2</v>
      </c>
    </row>
    <row r="3681" spans="1:3" x14ac:dyDescent="0.3">
      <c r="A3681" s="335">
        <v>44560</v>
      </c>
      <c r="B3681">
        <v>589.714294</v>
      </c>
      <c r="C3681" s="334">
        <f t="shared" si="57"/>
        <v>0</v>
      </c>
    </row>
    <row r="3682" spans="1:3" x14ac:dyDescent="0.3">
      <c r="A3682" s="335"/>
    </row>
    <row r="3683" spans="1:3" x14ac:dyDescent="0.3">
      <c r="A3683" s="335"/>
    </row>
    <row r="3684" spans="1:3" x14ac:dyDescent="0.3">
      <c r="A3684" s="335"/>
    </row>
    <row r="3685" spans="1:3" x14ac:dyDescent="0.3">
      <c r="A3685" s="335"/>
    </row>
    <row r="3686" spans="1:3" x14ac:dyDescent="0.3">
      <c r="A3686" s="335"/>
    </row>
    <row r="3687" spans="1:3" x14ac:dyDescent="0.3">
      <c r="A3687" s="335"/>
    </row>
    <row r="3688" spans="1:3" x14ac:dyDescent="0.3">
      <c r="A3688" s="335"/>
    </row>
    <row r="3689" spans="1:3" x14ac:dyDescent="0.3">
      <c r="A3689" s="335"/>
    </row>
    <row r="3690" spans="1:3" x14ac:dyDescent="0.3">
      <c r="A3690" s="335"/>
    </row>
    <row r="3691" spans="1:3" x14ac:dyDescent="0.3">
      <c r="A3691" s="335"/>
    </row>
    <row r="3692" spans="1:3" x14ac:dyDescent="0.3">
      <c r="A3692" s="335"/>
    </row>
    <row r="3693" spans="1:3" x14ac:dyDescent="0.3">
      <c r="A3693" s="335"/>
    </row>
    <row r="3694" spans="1:3" x14ac:dyDescent="0.3">
      <c r="A3694" s="335"/>
    </row>
    <row r="3695" spans="1:3" x14ac:dyDescent="0.3">
      <c r="A3695" s="335"/>
    </row>
    <row r="3696" spans="1:3" x14ac:dyDescent="0.3">
      <c r="A3696" s="335"/>
    </row>
    <row r="3697" spans="1:1" x14ac:dyDescent="0.3">
      <c r="A3697" s="335"/>
    </row>
    <row r="3698" spans="1:1" x14ac:dyDescent="0.3">
      <c r="A3698" s="335"/>
    </row>
    <row r="3699" spans="1:1" x14ac:dyDescent="0.3">
      <c r="A3699" s="335"/>
    </row>
    <row r="3700" spans="1:1" x14ac:dyDescent="0.3">
      <c r="A3700" s="335"/>
    </row>
    <row r="3701" spans="1:1" x14ac:dyDescent="0.3">
      <c r="A3701" s="335"/>
    </row>
    <row r="3702" spans="1:1" x14ac:dyDescent="0.3">
      <c r="A3702" s="335"/>
    </row>
    <row r="3703" spans="1:1" x14ac:dyDescent="0.3">
      <c r="A3703" s="335"/>
    </row>
    <row r="3704" spans="1:1" x14ac:dyDescent="0.3">
      <c r="A3704" s="335"/>
    </row>
    <row r="3705" spans="1:1" x14ac:dyDescent="0.3">
      <c r="A3705" s="335"/>
    </row>
    <row r="3706" spans="1:1" x14ac:dyDescent="0.3">
      <c r="A3706" s="335"/>
    </row>
    <row r="3707" spans="1:1" x14ac:dyDescent="0.3">
      <c r="A3707" s="335"/>
    </row>
    <row r="3708" spans="1:1" x14ac:dyDescent="0.3">
      <c r="A3708" s="335"/>
    </row>
    <row r="3709" spans="1:1" x14ac:dyDescent="0.3">
      <c r="A3709" s="335"/>
    </row>
    <row r="3710" spans="1:1" x14ac:dyDescent="0.3">
      <c r="A3710" s="335"/>
    </row>
    <row r="3711" spans="1:1" x14ac:dyDescent="0.3">
      <c r="A3711" s="335"/>
    </row>
    <row r="3712" spans="1:1" x14ac:dyDescent="0.3">
      <c r="A3712" s="335"/>
    </row>
    <row r="3713" spans="1:1" x14ac:dyDescent="0.3">
      <c r="A3713" s="335"/>
    </row>
    <row r="3714" spans="1:1" x14ac:dyDescent="0.3">
      <c r="A3714" s="335"/>
    </row>
    <row r="3715" spans="1:1" x14ac:dyDescent="0.3">
      <c r="A3715" s="335"/>
    </row>
    <row r="3716" spans="1:1" x14ac:dyDescent="0.3">
      <c r="A3716" s="335"/>
    </row>
    <row r="3717" spans="1:1" x14ac:dyDescent="0.3">
      <c r="A3717" s="335"/>
    </row>
    <row r="3718" spans="1:1" x14ac:dyDescent="0.3">
      <c r="A3718" s="335"/>
    </row>
    <row r="3719" spans="1:1" x14ac:dyDescent="0.3">
      <c r="A3719" s="335"/>
    </row>
    <row r="3720" spans="1:1" x14ac:dyDescent="0.3">
      <c r="A3720" s="335"/>
    </row>
    <row r="3721" spans="1:1" x14ac:dyDescent="0.3">
      <c r="A3721" s="335"/>
    </row>
    <row r="3722" spans="1:1" x14ac:dyDescent="0.3">
      <c r="A3722" s="335"/>
    </row>
    <row r="3723" spans="1:1" x14ac:dyDescent="0.3">
      <c r="A3723" s="335"/>
    </row>
    <row r="3724" spans="1:1" x14ac:dyDescent="0.3">
      <c r="A3724" s="335"/>
    </row>
    <row r="3725" spans="1:1" x14ac:dyDescent="0.3">
      <c r="A3725" s="335"/>
    </row>
    <row r="3726" spans="1:1" x14ac:dyDescent="0.3">
      <c r="A3726" s="335"/>
    </row>
    <row r="3727" spans="1:1" x14ac:dyDescent="0.3">
      <c r="A3727" s="335"/>
    </row>
    <row r="3728" spans="1:1" x14ac:dyDescent="0.3">
      <c r="A3728" s="335"/>
    </row>
    <row r="3729" spans="1:1" x14ac:dyDescent="0.3">
      <c r="A3729" s="335"/>
    </row>
    <row r="3730" spans="1:1" x14ac:dyDescent="0.3">
      <c r="A3730" s="335"/>
    </row>
    <row r="3731" spans="1:1" x14ac:dyDescent="0.3">
      <c r="A3731" s="335"/>
    </row>
    <row r="3732" spans="1:1" x14ac:dyDescent="0.3">
      <c r="A3732" s="335"/>
    </row>
    <row r="3733" spans="1:1" x14ac:dyDescent="0.3">
      <c r="A3733" s="335"/>
    </row>
    <row r="3734" spans="1:1" x14ac:dyDescent="0.3">
      <c r="A3734" s="335"/>
    </row>
    <row r="3735" spans="1:1" x14ac:dyDescent="0.3">
      <c r="A3735" s="335"/>
    </row>
    <row r="3736" spans="1:1" x14ac:dyDescent="0.3">
      <c r="A3736" s="335"/>
    </row>
    <row r="3737" spans="1:1" x14ac:dyDescent="0.3">
      <c r="A3737" s="335"/>
    </row>
    <row r="3738" spans="1:1" x14ac:dyDescent="0.3">
      <c r="A3738" s="335"/>
    </row>
    <row r="3739" spans="1:1" x14ac:dyDescent="0.3">
      <c r="A3739" s="335"/>
    </row>
    <row r="3740" spans="1:1" x14ac:dyDescent="0.3">
      <c r="A3740" s="335"/>
    </row>
    <row r="3741" spans="1:1" x14ac:dyDescent="0.3">
      <c r="A3741" s="335"/>
    </row>
    <row r="3742" spans="1:1" x14ac:dyDescent="0.3">
      <c r="A3742" s="335"/>
    </row>
    <row r="3743" spans="1:1" x14ac:dyDescent="0.3">
      <c r="A3743" s="335"/>
    </row>
    <row r="3744" spans="1:1" x14ac:dyDescent="0.3">
      <c r="A3744" s="335"/>
    </row>
    <row r="3745" spans="1:1" x14ac:dyDescent="0.3">
      <c r="A3745" s="335"/>
    </row>
    <row r="3746" spans="1:1" x14ac:dyDescent="0.3">
      <c r="A3746" s="335"/>
    </row>
    <row r="3747" spans="1:1" x14ac:dyDescent="0.3">
      <c r="A3747" s="335"/>
    </row>
    <row r="3748" spans="1:1" x14ac:dyDescent="0.3">
      <c r="A3748" s="335"/>
    </row>
    <row r="3749" spans="1:1" x14ac:dyDescent="0.3">
      <c r="A3749" s="335"/>
    </row>
    <row r="3750" spans="1:1" x14ac:dyDescent="0.3">
      <c r="A3750" s="335"/>
    </row>
    <row r="3751" spans="1:1" x14ac:dyDescent="0.3">
      <c r="A3751" s="335"/>
    </row>
    <row r="3752" spans="1:1" x14ac:dyDescent="0.3">
      <c r="A3752" s="335"/>
    </row>
    <row r="3753" spans="1:1" x14ac:dyDescent="0.3">
      <c r="A3753" s="335"/>
    </row>
    <row r="3754" spans="1:1" x14ac:dyDescent="0.3">
      <c r="A3754" s="335"/>
    </row>
    <row r="3755" spans="1:1" x14ac:dyDescent="0.3">
      <c r="A3755" s="335"/>
    </row>
    <row r="3756" spans="1:1" x14ac:dyDescent="0.3">
      <c r="A3756" s="335"/>
    </row>
    <row r="3757" spans="1:1" x14ac:dyDescent="0.3">
      <c r="A3757" s="335"/>
    </row>
    <row r="3758" spans="1:1" x14ac:dyDescent="0.3">
      <c r="A3758" s="335"/>
    </row>
    <row r="3759" spans="1:1" x14ac:dyDescent="0.3">
      <c r="A3759" s="335"/>
    </row>
    <row r="3760" spans="1:1" x14ac:dyDescent="0.3">
      <c r="A3760" s="335"/>
    </row>
    <row r="3761" spans="1:1" x14ac:dyDescent="0.3">
      <c r="A3761" s="335"/>
    </row>
    <row r="3762" spans="1:1" x14ac:dyDescent="0.3">
      <c r="A3762" s="335"/>
    </row>
    <row r="3763" spans="1:1" x14ac:dyDescent="0.3">
      <c r="A3763" s="335"/>
    </row>
    <row r="3764" spans="1:1" x14ac:dyDescent="0.3">
      <c r="A3764" s="335"/>
    </row>
    <row r="3765" spans="1:1" x14ac:dyDescent="0.3">
      <c r="A3765" s="335"/>
    </row>
    <row r="3766" spans="1:1" x14ac:dyDescent="0.3">
      <c r="A3766" s="335"/>
    </row>
    <row r="3767" spans="1:1" x14ac:dyDescent="0.3">
      <c r="A3767" s="335"/>
    </row>
    <row r="3768" spans="1:1" x14ac:dyDescent="0.3">
      <c r="A3768" s="335"/>
    </row>
    <row r="3769" spans="1:1" x14ac:dyDescent="0.3">
      <c r="A3769" s="335"/>
    </row>
    <row r="3770" spans="1:1" x14ac:dyDescent="0.3">
      <c r="A3770" s="335"/>
    </row>
    <row r="3771" spans="1:1" x14ac:dyDescent="0.3">
      <c r="A3771" s="335"/>
    </row>
    <row r="3772" spans="1:1" x14ac:dyDescent="0.3">
      <c r="A3772" s="335"/>
    </row>
    <row r="3773" spans="1:1" x14ac:dyDescent="0.3">
      <c r="A3773" s="335"/>
    </row>
    <row r="3774" spans="1:1" x14ac:dyDescent="0.3">
      <c r="A3774" s="335"/>
    </row>
    <row r="3775" spans="1:1" x14ac:dyDescent="0.3">
      <c r="A3775" s="335"/>
    </row>
    <row r="3776" spans="1:1" x14ac:dyDescent="0.3">
      <c r="A3776" s="335"/>
    </row>
    <row r="3777" spans="1:1" x14ac:dyDescent="0.3">
      <c r="A3777" s="335"/>
    </row>
    <row r="3778" spans="1:1" x14ac:dyDescent="0.3">
      <c r="A3778" s="335"/>
    </row>
    <row r="3779" spans="1:1" x14ac:dyDescent="0.3">
      <c r="A3779" s="335"/>
    </row>
    <row r="3780" spans="1:1" x14ac:dyDescent="0.3">
      <c r="A3780" s="335"/>
    </row>
    <row r="3781" spans="1:1" x14ac:dyDescent="0.3">
      <c r="A3781" s="335"/>
    </row>
    <row r="3782" spans="1:1" x14ac:dyDescent="0.3">
      <c r="A3782" s="335"/>
    </row>
    <row r="3783" spans="1:1" x14ac:dyDescent="0.3">
      <c r="A3783" s="335"/>
    </row>
    <row r="3784" spans="1:1" x14ac:dyDescent="0.3">
      <c r="A3784" s="335"/>
    </row>
    <row r="3785" spans="1:1" x14ac:dyDescent="0.3">
      <c r="A3785" s="335"/>
    </row>
    <row r="3786" spans="1:1" x14ac:dyDescent="0.3">
      <c r="A3786" s="335"/>
    </row>
    <row r="3787" spans="1:1" x14ac:dyDescent="0.3">
      <c r="A3787" s="335"/>
    </row>
    <row r="3788" spans="1:1" x14ac:dyDescent="0.3">
      <c r="A3788" s="335"/>
    </row>
    <row r="3789" spans="1:1" x14ac:dyDescent="0.3">
      <c r="A3789" s="335"/>
    </row>
    <row r="3790" spans="1:1" x14ac:dyDescent="0.3">
      <c r="A3790" s="335"/>
    </row>
    <row r="3791" spans="1:1" x14ac:dyDescent="0.3">
      <c r="A3791" s="335"/>
    </row>
    <row r="3792" spans="1:1" x14ac:dyDescent="0.3">
      <c r="A3792" s="335"/>
    </row>
    <row r="3793" spans="1:1" x14ac:dyDescent="0.3">
      <c r="A3793" s="335"/>
    </row>
    <row r="3794" spans="1:1" x14ac:dyDescent="0.3">
      <c r="A3794" s="335"/>
    </row>
    <row r="3795" spans="1:1" x14ac:dyDescent="0.3">
      <c r="A3795" s="335"/>
    </row>
    <row r="3796" spans="1:1" x14ac:dyDescent="0.3">
      <c r="A3796" s="335"/>
    </row>
    <row r="3797" spans="1:1" x14ac:dyDescent="0.3">
      <c r="A3797" s="335"/>
    </row>
    <row r="3798" spans="1:1" x14ac:dyDescent="0.3">
      <c r="A3798" s="335"/>
    </row>
    <row r="3799" spans="1:1" x14ac:dyDescent="0.3">
      <c r="A3799" s="335"/>
    </row>
    <row r="3800" spans="1:1" x14ac:dyDescent="0.3">
      <c r="A3800" s="335"/>
    </row>
    <row r="3801" spans="1:1" x14ac:dyDescent="0.3">
      <c r="A3801" s="335"/>
    </row>
    <row r="3802" spans="1:1" x14ac:dyDescent="0.3">
      <c r="A3802" s="335"/>
    </row>
    <row r="3803" spans="1:1" x14ac:dyDescent="0.3">
      <c r="A3803" s="335"/>
    </row>
    <row r="3804" spans="1:1" x14ac:dyDescent="0.3">
      <c r="A3804" s="335"/>
    </row>
    <row r="3805" spans="1:1" x14ac:dyDescent="0.3">
      <c r="A3805" s="335"/>
    </row>
    <row r="3806" spans="1:1" x14ac:dyDescent="0.3">
      <c r="A3806" s="335"/>
    </row>
    <row r="3807" spans="1:1" x14ac:dyDescent="0.3">
      <c r="A3807" s="335"/>
    </row>
    <row r="3808" spans="1:1" x14ac:dyDescent="0.3">
      <c r="A3808" s="335"/>
    </row>
    <row r="3809" spans="1:1" x14ac:dyDescent="0.3">
      <c r="A3809" s="335"/>
    </row>
    <row r="3810" spans="1:1" x14ac:dyDescent="0.3">
      <c r="A3810" s="335"/>
    </row>
    <row r="3811" spans="1:1" x14ac:dyDescent="0.3">
      <c r="A3811" s="335"/>
    </row>
    <row r="3812" spans="1:1" x14ac:dyDescent="0.3">
      <c r="A3812" s="335"/>
    </row>
    <row r="3813" spans="1:1" x14ac:dyDescent="0.3">
      <c r="A3813" s="335"/>
    </row>
    <row r="3814" spans="1:1" x14ac:dyDescent="0.3">
      <c r="A3814" s="335"/>
    </row>
    <row r="3815" spans="1:1" x14ac:dyDescent="0.3">
      <c r="A3815" s="335"/>
    </row>
    <row r="3816" spans="1:1" x14ac:dyDescent="0.3">
      <c r="A3816" s="335"/>
    </row>
    <row r="3817" spans="1:1" x14ac:dyDescent="0.3">
      <c r="A3817" s="335"/>
    </row>
    <row r="3818" spans="1:1" x14ac:dyDescent="0.3">
      <c r="A3818" s="335"/>
    </row>
    <row r="3819" spans="1:1" x14ac:dyDescent="0.3">
      <c r="A3819" s="335"/>
    </row>
    <row r="3820" spans="1:1" x14ac:dyDescent="0.3">
      <c r="A3820" s="335"/>
    </row>
    <row r="3821" spans="1:1" x14ac:dyDescent="0.3">
      <c r="A3821" s="335"/>
    </row>
    <row r="3822" spans="1:1" x14ac:dyDescent="0.3">
      <c r="A3822" s="335"/>
    </row>
    <row r="3823" spans="1:1" x14ac:dyDescent="0.3">
      <c r="A3823" s="335"/>
    </row>
    <row r="3824" spans="1:1" x14ac:dyDescent="0.3">
      <c r="A3824" s="335"/>
    </row>
    <row r="3825" spans="1:1" x14ac:dyDescent="0.3">
      <c r="A3825" s="335"/>
    </row>
    <row r="3826" spans="1:1" x14ac:dyDescent="0.3">
      <c r="A3826" s="335"/>
    </row>
    <row r="3827" spans="1:1" x14ac:dyDescent="0.3">
      <c r="A3827" s="335"/>
    </row>
    <row r="3828" spans="1:1" x14ac:dyDescent="0.3">
      <c r="A3828" s="335"/>
    </row>
    <row r="3829" spans="1:1" x14ac:dyDescent="0.3">
      <c r="A3829" s="335"/>
    </row>
    <row r="3830" spans="1:1" x14ac:dyDescent="0.3">
      <c r="A3830" s="335"/>
    </row>
    <row r="3831" spans="1:1" x14ac:dyDescent="0.3">
      <c r="A3831" s="335"/>
    </row>
    <row r="3832" spans="1:1" x14ac:dyDescent="0.3">
      <c r="A3832" s="335"/>
    </row>
    <row r="3833" spans="1:1" x14ac:dyDescent="0.3">
      <c r="A3833" s="335"/>
    </row>
    <row r="3834" spans="1:1" x14ac:dyDescent="0.3">
      <c r="A3834" s="335"/>
    </row>
    <row r="3835" spans="1:1" x14ac:dyDescent="0.3">
      <c r="A3835" s="335"/>
    </row>
    <row r="3836" spans="1:1" x14ac:dyDescent="0.3">
      <c r="A3836" s="335"/>
    </row>
    <row r="3837" spans="1:1" x14ac:dyDescent="0.3">
      <c r="A3837" s="335"/>
    </row>
    <row r="3838" spans="1:1" x14ac:dyDescent="0.3">
      <c r="A3838" s="335"/>
    </row>
    <row r="3839" spans="1:1" x14ac:dyDescent="0.3">
      <c r="A3839" s="335"/>
    </row>
    <row r="3840" spans="1:1" x14ac:dyDescent="0.3">
      <c r="A3840" s="335"/>
    </row>
    <row r="3841" spans="1:1" x14ac:dyDescent="0.3">
      <c r="A3841" s="335"/>
    </row>
    <row r="3842" spans="1:1" x14ac:dyDescent="0.3">
      <c r="A3842" s="335"/>
    </row>
    <row r="3843" spans="1:1" x14ac:dyDescent="0.3">
      <c r="A3843" s="335"/>
    </row>
    <row r="3844" spans="1:1" x14ac:dyDescent="0.3">
      <c r="A3844" s="335"/>
    </row>
    <row r="3845" spans="1:1" x14ac:dyDescent="0.3">
      <c r="A3845" s="335"/>
    </row>
    <row r="3846" spans="1:1" x14ac:dyDescent="0.3">
      <c r="A3846" s="335"/>
    </row>
    <row r="3847" spans="1:1" x14ac:dyDescent="0.3">
      <c r="A3847" s="335"/>
    </row>
    <row r="3848" spans="1:1" x14ac:dyDescent="0.3">
      <c r="A3848" s="335"/>
    </row>
    <row r="3849" spans="1:1" x14ac:dyDescent="0.3">
      <c r="A3849" s="335"/>
    </row>
    <row r="3850" spans="1:1" x14ac:dyDescent="0.3">
      <c r="A3850" s="335"/>
    </row>
    <row r="3851" spans="1:1" x14ac:dyDescent="0.3">
      <c r="A3851" s="335"/>
    </row>
    <row r="3852" spans="1:1" x14ac:dyDescent="0.3">
      <c r="A3852" s="335"/>
    </row>
    <row r="3853" spans="1:1" x14ac:dyDescent="0.3">
      <c r="A3853" s="335"/>
    </row>
    <row r="3854" spans="1:1" x14ac:dyDescent="0.3">
      <c r="A3854" s="335"/>
    </row>
    <row r="3855" spans="1:1" x14ac:dyDescent="0.3">
      <c r="A3855" s="335"/>
    </row>
    <row r="3856" spans="1:1" x14ac:dyDescent="0.3">
      <c r="A3856" s="335"/>
    </row>
    <row r="3857" spans="1:1" x14ac:dyDescent="0.3">
      <c r="A3857" s="335"/>
    </row>
    <row r="3858" spans="1:1" x14ac:dyDescent="0.3">
      <c r="A3858" s="335"/>
    </row>
    <row r="3859" spans="1:1" x14ac:dyDescent="0.3">
      <c r="A3859" s="335"/>
    </row>
    <row r="3860" spans="1:1" x14ac:dyDescent="0.3">
      <c r="A3860" s="335"/>
    </row>
    <row r="3861" spans="1:1" x14ac:dyDescent="0.3">
      <c r="A3861" s="335"/>
    </row>
    <row r="3862" spans="1:1" x14ac:dyDescent="0.3">
      <c r="A3862" s="335"/>
    </row>
    <row r="3863" spans="1:1" x14ac:dyDescent="0.3">
      <c r="A3863" s="335"/>
    </row>
    <row r="3864" spans="1:1" x14ac:dyDescent="0.3">
      <c r="A3864" s="335"/>
    </row>
    <row r="3865" spans="1:1" x14ac:dyDescent="0.3">
      <c r="A3865" s="335"/>
    </row>
    <row r="3866" spans="1:1" x14ac:dyDescent="0.3">
      <c r="A3866" s="335"/>
    </row>
    <row r="3867" spans="1:1" x14ac:dyDescent="0.3">
      <c r="A3867" s="335"/>
    </row>
    <row r="3868" spans="1:1" x14ac:dyDescent="0.3">
      <c r="A3868" s="335"/>
    </row>
    <row r="3869" spans="1:1" x14ac:dyDescent="0.3">
      <c r="A3869" s="335"/>
    </row>
    <row r="3870" spans="1:1" x14ac:dyDescent="0.3">
      <c r="A3870" s="335"/>
    </row>
    <row r="3871" spans="1:1" x14ac:dyDescent="0.3">
      <c r="A3871" s="335"/>
    </row>
    <row r="3872" spans="1:1" x14ac:dyDescent="0.3">
      <c r="A3872" s="335"/>
    </row>
    <row r="3873" spans="1:1" x14ac:dyDescent="0.3">
      <c r="A3873" s="335"/>
    </row>
    <row r="3874" spans="1:1" x14ac:dyDescent="0.3">
      <c r="A3874" s="335"/>
    </row>
    <row r="3875" spans="1:1" x14ac:dyDescent="0.3">
      <c r="A3875" s="335"/>
    </row>
    <row r="3876" spans="1:1" x14ac:dyDescent="0.3">
      <c r="A3876" s="335"/>
    </row>
    <row r="3877" spans="1:1" x14ac:dyDescent="0.3">
      <c r="A3877" s="335"/>
    </row>
    <row r="3878" spans="1:1" x14ac:dyDescent="0.3">
      <c r="A3878" s="335"/>
    </row>
    <row r="3879" spans="1:1" x14ac:dyDescent="0.3">
      <c r="A3879" s="335"/>
    </row>
    <row r="3880" spans="1:1" x14ac:dyDescent="0.3">
      <c r="A3880" s="335"/>
    </row>
    <row r="3881" spans="1:1" x14ac:dyDescent="0.3">
      <c r="A3881" s="335"/>
    </row>
    <row r="3882" spans="1:1" x14ac:dyDescent="0.3">
      <c r="A3882" s="335"/>
    </row>
    <row r="3883" spans="1:1" x14ac:dyDescent="0.3">
      <c r="A3883" s="335"/>
    </row>
    <row r="3884" spans="1:1" x14ac:dyDescent="0.3">
      <c r="A3884" s="335"/>
    </row>
    <row r="3885" spans="1:1" x14ac:dyDescent="0.3">
      <c r="A3885" s="335"/>
    </row>
    <row r="3886" spans="1:1" x14ac:dyDescent="0.3">
      <c r="A3886" s="335"/>
    </row>
    <row r="3887" spans="1:1" x14ac:dyDescent="0.3">
      <c r="A3887" s="335"/>
    </row>
    <row r="3888" spans="1:1" x14ac:dyDescent="0.3">
      <c r="A3888" s="335"/>
    </row>
    <row r="3889" spans="1:1" x14ac:dyDescent="0.3">
      <c r="A3889" s="335"/>
    </row>
    <row r="3890" spans="1:1" x14ac:dyDescent="0.3">
      <c r="A3890" s="335"/>
    </row>
    <row r="3891" spans="1:1" x14ac:dyDescent="0.3">
      <c r="A3891" s="335"/>
    </row>
    <row r="3892" spans="1:1" x14ac:dyDescent="0.3">
      <c r="A3892" s="335"/>
    </row>
    <row r="3893" spans="1:1" x14ac:dyDescent="0.3">
      <c r="A3893" s="335"/>
    </row>
    <row r="3894" spans="1:1" x14ac:dyDescent="0.3">
      <c r="A3894" s="335"/>
    </row>
    <row r="3895" spans="1:1" x14ac:dyDescent="0.3">
      <c r="A3895" s="335"/>
    </row>
    <row r="3896" spans="1:1" x14ac:dyDescent="0.3">
      <c r="A3896" s="335"/>
    </row>
    <row r="3897" spans="1:1" x14ac:dyDescent="0.3">
      <c r="A3897" s="335"/>
    </row>
    <row r="3898" spans="1:1" x14ac:dyDescent="0.3">
      <c r="A3898" s="335"/>
    </row>
    <row r="3899" spans="1:1" x14ac:dyDescent="0.3">
      <c r="A3899" s="335"/>
    </row>
    <row r="3900" spans="1:1" x14ac:dyDescent="0.3">
      <c r="A3900" s="335"/>
    </row>
    <row r="3901" spans="1:1" x14ac:dyDescent="0.3">
      <c r="A3901" s="335"/>
    </row>
    <row r="3902" spans="1:1" x14ac:dyDescent="0.3">
      <c r="A3902" s="335"/>
    </row>
    <row r="3903" spans="1:1" x14ac:dyDescent="0.3">
      <c r="A3903" s="335"/>
    </row>
    <row r="3904" spans="1:1" x14ac:dyDescent="0.3">
      <c r="A3904" s="335"/>
    </row>
    <row r="3905" spans="1:1" x14ac:dyDescent="0.3">
      <c r="A3905" s="335"/>
    </row>
    <row r="3906" spans="1:1" x14ac:dyDescent="0.3">
      <c r="A3906" s="335"/>
    </row>
    <row r="3907" spans="1:1" x14ac:dyDescent="0.3">
      <c r="A3907" s="335"/>
    </row>
    <row r="3908" spans="1:1" x14ac:dyDescent="0.3">
      <c r="A3908" s="335"/>
    </row>
    <row r="3909" spans="1:1" x14ac:dyDescent="0.3">
      <c r="A3909" s="335"/>
    </row>
    <row r="3910" spans="1:1" x14ac:dyDescent="0.3">
      <c r="A3910" s="335"/>
    </row>
    <row r="3911" spans="1:1" x14ac:dyDescent="0.3">
      <c r="A3911" s="335"/>
    </row>
    <row r="3912" spans="1:1" x14ac:dyDescent="0.3">
      <c r="A3912" s="335"/>
    </row>
    <row r="3913" spans="1:1" x14ac:dyDescent="0.3">
      <c r="A3913" s="335"/>
    </row>
    <row r="3914" spans="1:1" x14ac:dyDescent="0.3">
      <c r="A3914" s="335"/>
    </row>
    <row r="3915" spans="1:1" x14ac:dyDescent="0.3">
      <c r="A3915" s="335"/>
    </row>
    <row r="3916" spans="1:1" x14ac:dyDescent="0.3">
      <c r="A3916" s="335"/>
    </row>
    <row r="3917" spans="1:1" x14ac:dyDescent="0.3">
      <c r="A3917" s="335"/>
    </row>
    <row r="3918" spans="1:1" x14ac:dyDescent="0.3">
      <c r="A3918" s="335"/>
    </row>
    <row r="3919" spans="1:1" x14ac:dyDescent="0.3">
      <c r="A3919" s="335"/>
    </row>
    <row r="3920" spans="1:1" x14ac:dyDescent="0.3">
      <c r="A3920" s="335"/>
    </row>
    <row r="3921" spans="1:1" x14ac:dyDescent="0.3">
      <c r="A3921" s="335"/>
    </row>
    <row r="3922" spans="1:1" x14ac:dyDescent="0.3">
      <c r="A3922" s="335"/>
    </row>
    <row r="3923" spans="1:1" x14ac:dyDescent="0.3">
      <c r="A3923" s="335"/>
    </row>
    <row r="3924" spans="1:1" x14ac:dyDescent="0.3">
      <c r="A3924" s="335"/>
    </row>
    <row r="3925" spans="1:1" x14ac:dyDescent="0.3">
      <c r="A3925" s="335"/>
    </row>
    <row r="3926" spans="1:1" x14ac:dyDescent="0.3">
      <c r="A3926" s="335"/>
    </row>
    <row r="3927" spans="1:1" x14ac:dyDescent="0.3">
      <c r="A3927" s="335"/>
    </row>
    <row r="3928" spans="1:1" x14ac:dyDescent="0.3">
      <c r="A3928" s="335"/>
    </row>
    <row r="3929" spans="1:1" x14ac:dyDescent="0.3">
      <c r="A3929" s="335"/>
    </row>
    <row r="3930" spans="1:1" x14ac:dyDescent="0.3">
      <c r="A3930" s="335"/>
    </row>
    <row r="3931" spans="1:1" x14ac:dyDescent="0.3">
      <c r="A3931" s="335"/>
    </row>
    <row r="3932" spans="1:1" x14ac:dyDescent="0.3">
      <c r="A3932" s="335"/>
    </row>
    <row r="3933" spans="1:1" x14ac:dyDescent="0.3">
      <c r="A3933" s="335"/>
    </row>
    <row r="3934" spans="1:1" x14ac:dyDescent="0.3">
      <c r="A3934" s="335"/>
    </row>
    <row r="3935" spans="1:1" x14ac:dyDescent="0.3">
      <c r="A3935" s="335"/>
    </row>
    <row r="3936" spans="1:1" x14ac:dyDescent="0.3">
      <c r="A3936" s="335"/>
    </row>
    <row r="3937" spans="1:1" x14ac:dyDescent="0.3">
      <c r="A3937" s="335"/>
    </row>
    <row r="3938" spans="1:1" x14ac:dyDescent="0.3">
      <c r="A3938" s="335"/>
    </row>
    <row r="3939" spans="1:1" x14ac:dyDescent="0.3">
      <c r="A3939" s="335"/>
    </row>
    <row r="3940" spans="1:1" x14ac:dyDescent="0.3">
      <c r="A3940" s="335"/>
    </row>
    <row r="3941" spans="1:1" x14ac:dyDescent="0.3">
      <c r="A3941" s="335"/>
    </row>
    <row r="3942" spans="1:1" x14ac:dyDescent="0.3">
      <c r="A3942" s="335"/>
    </row>
    <row r="3943" spans="1:1" x14ac:dyDescent="0.3">
      <c r="A3943" s="335"/>
    </row>
    <row r="3944" spans="1:1" x14ac:dyDescent="0.3">
      <c r="A3944" s="335"/>
    </row>
    <row r="3945" spans="1:1" x14ac:dyDescent="0.3">
      <c r="A3945" s="335"/>
    </row>
    <row r="3946" spans="1:1" x14ac:dyDescent="0.3">
      <c r="A3946" s="335"/>
    </row>
    <row r="3947" spans="1:1" x14ac:dyDescent="0.3">
      <c r="A3947" s="335"/>
    </row>
    <row r="3948" spans="1:1" x14ac:dyDescent="0.3">
      <c r="A3948" s="335"/>
    </row>
    <row r="3949" spans="1:1" x14ac:dyDescent="0.3">
      <c r="A3949" s="335"/>
    </row>
    <row r="3950" spans="1:1" x14ac:dyDescent="0.3">
      <c r="A3950" s="335"/>
    </row>
    <row r="3951" spans="1:1" x14ac:dyDescent="0.3">
      <c r="A3951" s="335"/>
    </row>
    <row r="3952" spans="1:1" x14ac:dyDescent="0.3">
      <c r="A3952" s="335"/>
    </row>
    <row r="3953" spans="1:1" x14ac:dyDescent="0.3">
      <c r="A3953" s="335"/>
    </row>
    <row r="3954" spans="1:1" x14ac:dyDescent="0.3">
      <c r="A3954" s="335"/>
    </row>
    <row r="3955" spans="1:1" x14ac:dyDescent="0.3">
      <c r="A3955" s="335"/>
    </row>
    <row r="3956" spans="1:1" x14ac:dyDescent="0.3">
      <c r="A3956" s="335"/>
    </row>
    <row r="3957" spans="1:1" x14ac:dyDescent="0.3">
      <c r="A3957" s="335"/>
    </row>
    <row r="3958" spans="1:1" x14ac:dyDescent="0.3">
      <c r="A3958" s="335"/>
    </row>
    <row r="3959" spans="1:1" x14ac:dyDescent="0.3">
      <c r="A3959" s="335"/>
    </row>
    <row r="3960" spans="1:1" x14ac:dyDescent="0.3">
      <c r="A3960" s="335"/>
    </row>
    <row r="3961" spans="1:1" x14ac:dyDescent="0.3">
      <c r="A3961" s="335"/>
    </row>
    <row r="3962" spans="1:1" x14ac:dyDescent="0.3">
      <c r="A3962" s="335"/>
    </row>
    <row r="3963" spans="1:1" x14ac:dyDescent="0.3">
      <c r="A3963" s="335"/>
    </row>
    <row r="3964" spans="1:1" x14ac:dyDescent="0.3">
      <c r="A3964" s="335"/>
    </row>
    <row r="3965" spans="1:1" x14ac:dyDescent="0.3">
      <c r="A3965" s="335"/>
    </row>
    <row r="3966" spans="1:1" x14ac:dyDescent="0.3">
      <c r="A3966" s="335"/>
    </row>
    <row r="3967" spans="1:1" x14ac:dyDescent="0.3">
      <c r="A3967" s="335"/>
    </row>
    <row r="3968" spans="1:1" x14ac:dyDescent="0.3">
      <c r="A3968" s="335"/>
    </row>
    <row r="3969" spans="1:1" x14ac:dyDescent="0.3">
      <c r="A3969" s="335"/>
    </row>
    <row r="3970" spans="1:1" x14ac:dyDescent="0.3">
      <c r="A3970" s="335"/>
    </row>
    <row r="3971" spans="1:1" x14ac:dyDescent="0.3">
      <c r="A3971" s="335"/>
    </row>
    <row r="3972" spans="1:1" x14ac:dyDescent="0.3">
      <c r="A3972" s="335"/>
    </row>
    <row r="3973" spans="1:1" x14ac:dyDescent="0.3">
      <c r="A3973" s="335"/>
    </row>
    <row r="3974" spans="1:1" x14ac:dyDescent="0.3">
      <c r="A3974" s="335"/>
    </row>
    <row r="3975" spans="1:1" x14ac:dyDescent="0.3">
      <c r="A3975" s="335"/>
    </row>
    <row r="3976" spans="1:1" x14ac:dyDescent="0.3">
      <c r="A3976" s="335"/>
    </row>
    <row r="3977" spans="1:1" x14ac:dyDescent="0.3">
      <c r="A3977" s="335"/>
    </row>
    <row r="3978" spans="1:1" x14ac:dyDescent="0.3">
      <c r="A3978" s="335"/>
    </row>
    <row r="3979" spans="1:1" x14ac:dyDescent="0.3">
      <c r="A3979" s="335"/>
    </row>
    <row r="3980" spans="1:1" x14ac:dyDescent="0.3">
      <c r="A3980" s="335"/>
    </row>
    <row r="3981" spans="1:1" x14ac:dyDescent="0.3">
      <c r="A3981" s="335"/>
    </row>
    <row r="3982" spans="1:1" x14ac:dyDescent="0.3">
      <c r="A3982" s="335"/>
    </row>
    <row r="3983" spans="1:1" x14ac:dyDescent="0.3">
      <c r="A3983" s="335"/>
    </row>
    <row r="3984" spans="1:1" x14ac:dyDescent="0.3">
      <c r="A3984" s="335"/>
    </row>
    <row r="3985" spans="1:1" x14ac:dyDescent="0.3">
      <c r="A3985" s="335"/>
    </row>
    <row r="3986" spans="1:1" x14ac:dyDescent="0.3">
      <c r="A3986" s="335"/>
    </row>
    <row r="3987" spans="1:1" x14ac:dyDescent="0.3">
      <c r="A3987" s="335"/>
    </row>
    <row r="3988" spans="1:1" x14ac:dyDescent="0.3">
      <c r="A3988" s="335"/>
    </row>
    <row r="3989" spans="1:1" x14ac:dyDescent="0.3">
      <c r="A3989" s="335"/>
    </row>
    <row r="3990" spans="1:1" x14ac:dyDescent="0.3">
      <c r="A3990" s="335"/>
    </row>
    <row r="3991" spans="1:1" x14ac:dyDescent="0.3">
      <c r="A3991" s="335"/>
    </row>
    <row r="3992" spans="1:1" x14ac:dyDescent="0.3">
      <c r="A3992" s="335"/>
    </row>
    <row r="3993" spans="1:1" x14ac:dyDescent="0.3">
      <c r="A3993" s="335"/>
    </row>
    <row r="3994" spans="1:1" x14ac:dyDescent="0.3">
      <c r="A3994" s="335"/>
    </row>
    <row r="3995" spans="1:1" x14ac:dyDescent="0.3">
      <c r="A3995" s="335"/>
    </row>
    <row r="3996" spans="1:1" x14ac:dyDescent="0.3">
      <c r="A3996" s="335"/>
    </row>
    <row r="3997" spans="1:1" x14ac:dyDescent="0.3">
      <c r="A3997" s="335"/>
    </row>
    <row r="3998" spans="1:1" x14ac:dyDescent="0.3">
      <c r="A3998" s="335"/>
    </row>
    <row r="3999" spans="1:1" x14ac:dyDescent="0.3">
      <c r="A3999" s="335"/>
    </row>
    <row r="4000" spans="1:1" x14ac:dyDescent="0.3">
      <c r="A4000" s="335"/>
    </row>
    <row r="4001" spans="1:1" x14ac:dyDescent="0.3">
      <c r="A4001" s="335"/>
    </row>
    <row r="4002" spans="1:1" x14ac:dyDescent="0.3">
      <c r="A4002" s="335"/>
    </row>
    <row r="4003" spans="1:1" x14ac:dyDescent="0.3">
      <c r="A4003" s="335"/>
    </row>
    <row r="4004" spans="1:1" x14ac:dyDescent="0.3">
      <c r="A4004" s="335"/>
    </row>
    <row r="4005" spans="1:1" x14ac:dyDescent="0.3">
      <c r="A4005" s="335"/>
    </row>
    <row r="4006" spans="1:1" x14ac:dyDescent="0.3">
      <c r="A4006" s="335"/>
    </row>
    <row r="4007" spans="1:1" x14ac:dyDescent="0.3">
      <c r="A4007" s="335"/>
    </row>
    <row r="4008" spans="1:1" x14ac:dyDescent="0.3">
      <c r="A4008" s="335"/>
    </row>
    <row r="4009" spans="1:1" x14ac:dyDescent="0.3">
      <c r="A4009" s="335"/>
    </row>
    <row r="4010" spans="1:1" x14ac:dyDescent="0.3">
      <c r="A4010" s="335"/>
    </row>
    <row r="4011" spans="1:1" x14ac:dyDescent="0.3">
      <c r="A4011" s="335"/>
    </row>
    <row r="4012" spans="1:1" x14ac:dyDescent="0.3">
      <c r="A4012" s="335"/>
    </row>
    <row r="4013" spans="1:1" x14ac:dyDescent="0.3">
      <c r="A4013" s="335"/>
    </row>
    <row r="4014" spans="1:1" x14ac:dyDescent="0.3">
      <c r="A4014" s="335"/>
    </row>
    <row r="4015" spans="1:1" x14ac:dyDescent="0.3">
      <c r="A4015" s="335"/>
    </row>
    <row r="4016" spans="1:1" x14ac:dyDescent="0.3">
      <c r="A4016" s="335"/>
    </row>
    <row r="4017" spans="1:1" x14ac:dyDescent="0.3">
      <c r="A4017" s="335"/>
    </row>
    <row r="4018" spans="1:1" x14ac:dyDescent="0.3">
      <c r="A4018" s="335"/>
    </row>
    <row r="4019" spans="1:1" x14ac:dyDescent="0.3">
      <c r="A4019" s="335"/>
    </row>
    <row r="4020" spans="1:1" x14ac:dyDescent="0.3">
      <c r="A4020" s="335"/>
    </row>
    <row r="4021" spans="1:1" x14ac:dyDescent="0.3">
      <c r="A4021" s="335"/>
    </row>
    <row r="4022" spans="1:1" x14ac:dyDescent="0.3">
      <c r="A4022" s="335"/>
    </row>
    <row r="4023" spans="1:1" x14ac:dyDescent="0.3">
      <c r="A4023" s="335"/>
    </row>
    <row r="4024" spans="1:1" x14ac:dyDescent="0.3">
      <c r="A4024" s="335"/>
    </row>
    <row r="4025" spans="1:1" x14ac:dyDescent="0.3">
      <c r="A4025" s="335"/>
    </row>
    <row r="4026" spans="1:1" x14ac:dyDescent="0.3">
      <c r="A4026" s="335"/>
    </row>
    <row r="4027" spans="1:1" x14ac:dyDescent="0.3">
      <c r="A4027" s="335"/>
    </row>
    <row r="4028" spans="1:1" x14ac:dyDescent="0.3">
      <c r="A4028" s="335"/>
    </row>
    <row r="4029" spans="1:1" x14ac:dyDescent="0.3">
      <c r="A4029" s="335"/>
    </row>
    <row r="4030" spans="1:1" x14ac:dyDescent="0.3">
      <c r="A4030" s="335"/>
    </row>
    <row r="4031" spans="1:1" x14ac:dyDescent="0.3">
      <c r="A4031" s="33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75867-4b81-416b-ba87-cf9041e81374">
      <Terms xmlns="http://schemas.microsoft.com/office/infopath/2007/PartnerControls"/>
    </lcf76f155ced4ddcb4097134ff3c332f>
    <TaxCatchAll xmlns="8bcd404e-b814-4f6b-98b6-e29ae617f5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63A7F62C51E45832604D654F4D5F9" ma:contentTypeVersion="15" ma:contentTypeDescription="Create a new document." ma:contentTypeScope="" ma:versionID="e5af1f2014c132db2c3686bad2ed6450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c71c5fbc782802cf49b779a4856f93c3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0894B1-49DA-409D-8978-DC42FCAB2034}">
  <ds:schemaRefs>
    <ds:schemaRef ds:uri="http://schemas.microsoft.com/office/2006/metadata/properties"/>
    <ds:schemaRef ds:uri="http://schemas.microsoft.com/office/infopath/2007/PartnerControls"/>
    <ds:schemaRef ds:uri="dcc75867-4b81-416b-ba87-cf9041e81374"/>
    <ds:schemaRef ds:uri="8bcd404e-b814-4f6b-98b6-e29ae617f55a"/>
  </ds:schemaRefs>
</ds:datastoreItem>
</file>

<file path=customXml/itemProps2.xml><?xml version="1.0" encoding="utf-8"?>
<ds:datastoreItem xmlns:ds="http://schemas.openxmlformats.org/officeDocument/2006/customXml" ds:itemID="{9D05F7B7-EE3D-4BFB-9911-9ACB77ADDE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CAF779-5DDB-4C48-B41F-54F08137F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75867-4b81-416b-ba87-cf9041e81374"/>
    <ds:schemaRef ds:uri="8bcd404e-b814-4f6b-98b6-e29ae617f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Income Statement</vt:lpstr>
      <vt:lpstr>Balance Sheet</vt:lpstr>
      <vt:lpstr>Cashflow</vt:lpstr>
      <vt:lpstr>Vekst og lønnsomhet</vt:lpstr>
      <vt:lpstr>Beta</vt:lpstr>
      <vt:lpstr>Multipler</vt:lpstr>
      <vt:lpstr>Fundamental verdsettelse</vt:lpstr>
      <vt:lpstr>Monte Carlo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Grønås</dc:creator>
  <cp:lastModifiedBy>Mikkelsen, Sissel Merete</cp:lastModifiedBy>
  <dcterms:created xsi:type="dcterms:W3CDTF">2022-04-11T12:18:50Z</dcterms:created>
  <dcterms:modified xsi:type="dcterms:W3CDTF">2023-09-28T07:49:01Z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0x01010053C63A7F62C51E45832604D654F4D5F9</vt:lpwstr>
  </property>
</Properties>
</file>